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defaultThemeVersion="124226"/>
  <mc:AlternateContent xmlns:mc="http://schemas.openxmlformats.org/markup-compatibility/2006">
    <mc:Choice Requires="x15">
      <x15ac:absPath xmlns:x15ac="http://schemas.microsoft.com/office/spreadsheetml/2010/11/ac" url="F:\Study S2\Tesis 2017\Revisi Habis Seminar Proposal\Sesuai Format\Revisi Dg Pak Ophy\"/>
    </mc:Choice>
  </mc:AlternateContent>
  <xr:revisionPtr revIDLastSave="0" documentId="13_ncr:1_{323E12F9-7DD4-4C04-8B7C-657B62BE992D}" xr6:coauthVersionLast="45" xr6:coauthVersionMax="45" xr10:uidLastSave="{00000000-0000-0000-0000-000000000000}"/>
  <bookViews>
    <workbookView xWindow="-120" yWindow="-120" windowWidth="20730" windowHeight="11310" tabRatio="666" activeTab="7" xr2:uid="{00000000-000D-0000-FFFF-FFFF00000000}"/>
  </bookViews>
  <sheets>
    <sheet name="Faktor Penilaian" sheetId="1" r:id="rId1"/>
    <sheet name="Test AHP" sheetId="5" r:id="rId2"/>
    <sheet name="Urutan Jalan" sheetId="3" r:id="rId3"/>
    <sheet name="Prioritas" sheetId="4" state="hidden" r:id="rId4"/>
    <sheet name="Survey LHR" sheetId="6" r:id="rId5"/>
    <sheet name="Biaya" sheetId="2" state="hidden" r:id="rId6"/>
    <sheet name="Lembar survey" sheetId="7" r:id="rId7"/>
    <sheet name="Sheet1" sheetId="8" r:id="rId8"/>
  </sheets>
  <definedNames>
    <definedName name="_xlnm.Print_Area" localSheetId="0">'Faktor Penilaian'!$A$1:$S$58</definedName>
    <definedName name="_xlnm.Print_Area" localSheetId="6">'Lembar survey'!$A$1:$E$95</definedName>
    <definedName name="_xlnm.Print_Area" localSheetId="3">Prioritas!$A$1:$AM$36,Prioritas!$V$38:$AM$72,Prioritas!$V$74:$AM$102</definedName>
    <definedName name="_xlnm.Print_Area" localSheetId="4">'Survey LHR'!$A$1:$R$122</definedName>
    <definedName name="_xlnm.Print_Area" localSheetId="1">'Test AHP'!$AO$102:$BU$173,'Test AHP'!$BU$174:$CI$198</definedName>
    <definedName name="_xlnm.Print_Area" localSheetId="2">'Urutan Jalan'!$A$1:$L$83</definedName>
    <definedName name="_xlnm.Print_Titles" localSheetId="6">'Lembar survey'!$1:$4</definedName>
    <definedName name="_xlnm.Print_Titles" localSheetId="2">'Urutan Jalan'!$9:$11</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83" i="3" l="1"/>
  <c r="G83" i="3"/>
  <c r="D83" i="3"/>
  <c r="E82" i="3"/>
  <c r="D82" i="3"/>
  <c r="E81" i="3"/>
  <c r="D81" i="3"/>
  <c r="H80" i="3"/>
  <c r="G80" i="3"/>
  <c r="E80" i="3"/>
  <c r="D80" i="3"/>
  <c r="E79" i="3"/>
  <c r="D79" i="3"/>
  <c r="H78" i="3"/>
  <c r="G78" i="3"/>
  <c r="E78" i="3"/>
  <c r="I78" i="3" s="1"/>
  <c r="J78" i="3" s="1"/>
  <c r="D78" i="3"/>
  <c r="E77" i="3"/>
  <c r="D77" i="3"/>
  <c r="H76" i="3"/>
  <c r="G76" i="3"/>
  <c r="E76" i="3"/>
  <c r="I76" i="3" s="1"/>
  <c r="D76" i="3"/>
  <c r="E75" i="3"/>
  <c r="D75" i="3"/>
  <c r="E74" i="3"/>
  <c r="D74" i="3"/>
  <c r="E73" i="3"/>
  <c r="D73" i="3"/>
  <c r="H72" i="3"/>
  <c r="G72" i="3"/>
  <c r="E72" i="3"/>
  <c r="I72" i="3" s="1"/>
  <c r="J72" i="3" s="1"/>
  <c r="D72" i="3"/>
  <c r="H71" i="3"/>
  <c r="G71" i="3"/>
  <c r="D71" i="3"/>
  <c r="E70" i="3"/>
  <c r="D70" i="3"/>
  <c r="E69" i="3"/>
  <c r="D69" i="3"/>
  <c r="H68" i="3"/>
  <c r="G68" i="3"/>
  <c r="E68" i="3"/>
  <c r="I68" i="3" s="1"/>
  <c r="J68" i="3" s="1"/>
  <c r="D68" i="3"/>
  <c r="E67" i="3"/>
  <c r="D67" i="3"/>
  <c r="H66" i="3"/>
  <c r="G66" i="3"/>
  <c r="E66" i="3"/>
  <c r="I66" i="3" s="1"/>
  <c r="D66" i="3"/>
  <c r="E65" i="3"/>
  <c r="D65" i="3"/>
  <c r="H64" i="3"/>
  <c r="G64" i="3"/>
  <c r="E64" i="3"/>
  <c r="I64" i="3" s="1"/>
  <c r="J64" i="3" s="1"/>
  <c r="D64" i="3"/>
  <c r="E63" i="3"/>
  <c r="D63" i="3"/>
  <c r="E62" i="3"/>
  <c r="D62" i="3"/>
  <c r="E61" i="3"/>
  <c r="D61" i="3"/>
  <c r="H60" i="3"/>
  <c r="G60" i="3"/>
  <c r="E60" i="3"/>
  <c r="D60" i="3"/>
  <c r="H59" i="3"/>
  <c r="G59" i="3"/>
  <c r="D59" i="3"/>
  <c r="E58" i="3"/>
  <c r="D58" i="3"/>
  <c r="E57" i="3"/>
  <c r="D57" i="3"/>
  <c r="H56" i="3"/>
  <c r="G56" i="3"/>
  <c r="E56" i="3"/>
  <c r="I56" i="3" s="1"/>
  <c r="D56" i="3"/>
  <c r="E55" i="3"/>
  <c r="D55" i="3"/>
  <c r="I54" i="3"/>
  <c r="H54" i="3"/>
  <c r="G54" i="3"/>
  <c r="E54" i="3"/>
  <c r="D54" i="3"/>
  <c r="E53" i="3"/>
  <c r="D53" i="3"/>
  <c r="H52" i="3"/>
  <c r="G52" i="3"/>
  <c r="E52" i="3"/>
  <c r="I52" i="3" s="1"/>
  <c r="D52" i="3"/>
  <c r="E51" i="3"/>
  <c r="D51" i="3"/>
  <c r="E50" i="3"/>
  <c r="D50" i="3"/>
  <c r="E49" i="3"/>
  <c r="D49" i="3"/>
  <c r="H48" i="3"/>
  <c r="G48" i="3"/>
  <c r="E48" i="3"/>
  <c r="I48" i="3" s="1"/>
  <c r="J48" i="3" s="1"/>
  <c r="D48" i="3"/>
  <c r="H47" i="3"/>
  <c r="G47" i="3"/>
  <c r="D47" i="3"/>
  <c r="E46" i="3"/>
  <c r="D46" i="3"/>
  <c r="E45" i="3"/>
  <c r="D45" i="3"/>
  <c r="H44" i="3"/>
  <c r="G44" i="3"/>
  <c r="E44" i="3"/>
  <c r="D44" i="3"/>
  <c r="E43" i="3"/>
  <c r="D43" i="3"/>
  <c r="H42" i="3"/>
  <c r="G42" i="3"/>
  <c r="E42" i="3"/>
  <c r="I42" i="3" s="1"/>
  <c r="J42" i="3" s="1"/>
  <c r="D42" i="3"/>
  <c r="E41" i="3"/>
  <c r="D41" i="3"/>
  <c r="I40" i="3"/>
  <c r="J40" i="3" s="1"/>
  <c r="H40" i="3"/>
  <c r="G40" i="3"/>
  <c r="E40" i="3"/>
  <c r="D40" i="3"/>
  <c r="E39" i="3"/>
  <c r="D39" i="3"/>
  <c r="E38" i="3"/>
  <c r="D38" i="3"/>
  <c r="E37" i="3"/>
  <c r="D37" i="3"/>
  <c r="H36" i="3"/>
  <c r="G36" i="3"/>
  <c r="E36" i="3"/>
  <c r="D36" i="3"/>
  <c r="G35" i="3"/>
  <c r="G32" i="3"/>
  <c r="G30" i="3"/>
  <c r="G28" i="3"/>
  <c r="G24" i="3"/>
  <c r="H35" i="3"/>
  <c r="H32" i="3"/>
  <c r="H30" i="3"/>
  <c r="H28" i="3"/>
  <c r="H24" i="3"/>
  <c r="E34" i="3"/>
  <c r="E33" i="3"/>
  <c r="E32" i="3"/>
  <c r="E31" i="3"/>
  <c r="E30" i="3"/>
  <c r="E29" i="3"/>
  <c r="E28" i="3"/>
  <c r="I28" i="3" s="1"/>
  <c r="J28" i="3" s="1"/>
  <c r="E27" i="3"/>
  <c r="I24" i="3" s="1"/>
  <c r="E26" i="3"/>
  <c r="E25" i="3"/>
  <c r="E24" i="3"/>
  <c r="D35" i="3"/>
  <c r="D34" i="3"/>
  <c r="D33" i="3"/>
  <c r="D32" i="3"/>
  <c r="D31" i="3"/>
  <c r="D30" i="3"/>
  <c r="D29" i="3"/>
  <c r="D28" i="3"/>
  <c r="D27" i="3"/>
  <c r="D26" i="3"/>
  <c r="D25" i="3"/>
  <c r="D24" i="3"/>
  <c r="I35" i="3"/>
  <c r="J35" i="3" s="1"/>
  <c r="E35" i="3"/>
  <c r="E47" i="3" s="1"/>
  <c r="I16" i="3"/>
  <c r="J16" i="3" s="1"/>
  <c r="I23" i="3"/>
  <c r="J23" i="3" s="1"/>
  <c r="I20" i="3"/>
  <c r="J20" i="3" s="1"/>
  <c r="I18" i="3"/>
  <c r="J18" i="3" s="1"/>
  <c r="I12" i="3"/>
  <c r="J12" i="3" s="1"/>
  <c r="J76" i="3" l="1"/>
  <c r="I80" i="3"/>
  <c r="J80" i="3" s="1"/>
  <c r="I36" i="3"/>
  <c r="J36" i="3" s="1"/>
  <c r="I47" i="3"/>
  <c r="J47" i="3" s="1"/>
  <c r="E59" i="3"/>
  <c r="J54" i="3"/>
  <c r="I60" i="3"/>
  <c r="J60" i="3" s="1"/>
  <c r="J66" i="3"/>
  <c r="K12" i="3"/>
  <c r="I44" i="3"/>
  <c r="J44" i="3" s="1"/>
  <c r="J56" i="3"/>
  <c r="J52" i="3"/>
  <c r="I30" i="3"/>
  <c r="J30" i="3" s="1"/>
  <c r="J24" i="3"/>
  <c r="I32" i="3"/>
  <c r="J32" i="3" s="1"/>
  <c r="BJ153" i="5"/>
  <c r="BJ154" i="5"/>
  <c r="AV152" i="5"/>
  <c r="AT162" i="5"/>
  <c r="BH154" i="5"/>
  <c r="BH157" i="5"/>
  <c r="AR162" i="5"/>
  <c r="AR152" i="5"/>
  <c r="AR159" i="5"/>
  <c r="AR157" i="5"/>
  <c r="AX155" i="5"/>
  <c r="AX157" i="5"/>
  <c r="AX160" i="5"/>
  <c r="AX159" i="5"/>
  <c r="AT159" i="5"/>
  <c r="BI159" i="5"/>
  <c r="BI152" i="5"/>
  <c r="BI150" i="5"/>
  <c r="BG164" i="5"/>
  <c r="BG161" i="5"/>
  <c r="BG156" i="5"/>
  <c r="BG155" i="5"/>
  <c r="BG153" i="5"/>
  <c r="BG152" i="5"/>
  <c r="BG151" i="5"/>
  <c r="BG150" i="5"/>
  <c r="BC164" i="5"/>
  <c r="BC163" i="5"/>
  <c r="BC160" i="5"/>
  <c r="BC152" i="5"/>
  <c r="BC151" i="5"/>
  <c r="BC150" i="5"/>
  <c r="AX162" i="5"/>
  <c r="AW164" i="5"/>
  <c r="AW158" i="5"/>
  <c r="BE164" i="5"/>
  <c r="BF163" i="5"/>
  <c r="BF162" i="5"/>
  <c r="BE161" i="5"/>
  <c r="BE160" i="5"/>
  <c r="BF159" i="5"/>
  <c r="BE158" i="5"/>
  <c r="BE157" i="5"/>
  <c r="BE156" i="5"/>
  <c r="BF155" i="5"/>
  <c r="BE154" i="5"/>
  <c r="BE153" i="5"/>
  <c r="BF152" i="5"/>
  <c r="BE151" i="5"/>
  <c r="BF150" i="5"/>
  <c r="BB164" i="5"/>
  <c r="BB163" i="5"/>
  <c r="BB162" i="5"/>
  <c r="BB161" i="5"/>
  <c r="BB160" i="5"/>
  <c r="BB159" i="5"/>
  <c r="BA158" i="5"/>
  <c r="BB157" i="5"/>
  <c r="BA156" i="5"/>
  <c r="BB155" i="5"/>
  <c r="BA154" i="5"/>
  <c r="BB153" i="5"/>
  <c r="BB152" i="5"/>
  <c r="BB151" i="5"/>
  <c r="BB150" i="5"/>
  <c r="AZ164" i="5"/>
  <c r="AZ163" i="5"/>
  <c r="AY162" i="5"/>
  <c r="AY161" i="5"/>
  <c r="AZ160" i="5"/>
  <c r="AZ159" i="5"/>
  <c r="AY158" i="5"/>
  <c r="AZ157" i="5"/>
  <c r="AY156" i="5"/>
  <c r="AZ155" i="5"/>
  <c r="AZ154" i="5"/>
  <c r="AZ153" i="5"/>
  <c r="AY152" i="5"/>
  <c r="AZ151" i="5"/>
  <c r="AY150" i="5"/>
  <c r="K36" i="3" l="1"/>
  <c r="K24" i="3"/>
  <c r="I59" i="3"/>
  <c r="J59" i="3" s="1"/>
  <c r="K48" i="3" s="1"/>
  <c r="E71" i="3"/>
  <c r="L75" i="6"/>
  <c r="L74" i="6"/>
  <c r="L73" i="6"/>
  <c r="L72" i="6"/>
  <c r="L71" i="6"/>
  <c r="L70" i="6"/>
  <c r="L69" i="6"/>
  <c r="L68" i="6"/>
  <c r="L65" i="6"/>
  <c r="L64" i="6"/>
  <c r="L63" i="6"/>
  <c r="L62" i="6"/>
  <c r="L61" i="6"/>
  <c r="L60" i="6"/>
  <c r="L59" i="6"/>
  <c r="L58" i="6"/>
  <c r="L55" i="6"/>
  <c r="L54" i="6"/>
  <c r="L53" i="6"/>
  <c r="L52" i="6"/>
  <c r="L51" i="6"/>
  <c r="L50" i="6"/>
  <c r="L49" i="6"/>
  <c r="L48" i="6"/>
  <c r="L41" i="6"/>
  <c r="L40" i="6"/>
  <c r="L39" i="6"/>
  <c r="L38" i="6"/>
  <c r="L37" i="6"/>
  <c r="L36" i="6"/>
  <c r="L35" i="6"/>
  <c r="L34" i="6"/>
  <c r="L31" i="6"/>
  <c r="L30" i="6"/>
  <c r="L29" i="6"/>
  <c r="L28" i="6"/>
  <c r="L27" i="6"/>
  <c r="L26" i="6"/>
  <c r="L25" i="6"/>
  <c r="L24" i="6"/>
  <c r="L21" i="6"/>
  <c r="L20" i="6"/>
  <c r="L19" i="6"/>
  <c r="L18" i="6"/>
  <c r="L17" i="6"/>
  <c r="L16" i="6"/>
  <c r="L15" i="6"/>
  <c r="L14" i="6"/>
  <c r="J75" i="6"/>
  <c r="J74" i="6"/>
  <c r="J73" i="6"/>
  <c r="J72" i="6"/>
  <c r="J71" i="6"/>
  <c r="J70" i="6"/>
  <c r="J69" i="6"/>
  <c r="J68" i="6"/>
  <c r="J65" i="6"/>
  <c r="J64" i="6"/>
  <c r="J63" i="6"/>
  <c r="J62" i="6"/>
  <c r="J61" i="6"/>
  <c r="J60" i="6"/>
  <c r="J59" i="6"/>
  <c r="J58" i="6"/>
  <c r="J55" i="6"/>
  <c r="J54" i="6"/>
  <c r="J53" i="6"/>
  <c r="J52" i="6"/>
  <c r="J51" i="6"/>
  <c r="J50" i="6"/>
  <c r="J49" i="6"/>
  <c r="J48" i="6"/>
  <c r="J41" i="6"/>
  <c r="J40" i="6"/>
  <c r="J39" i="6"/>
  <c r="J38" i="6"/>
  <c r="J37" i="6"/>
  <c r="J36" i="6"/>
  <c r="J35" i="6"/>
  <c r="J34" i="6"/>
  <c r="J31" i="6"/>
  <c r="J30" i="6"/>
  <c r="J29" i="6"/>
  <c r="J28" i="6"/>
  <c r="J27" i="6"/>
  <c r="J26" i="6"/>
  <c r="J25" i="6"/>
  <c r="J24" i="6"/>
  <c r="J21" i="6"/>
  <c r="J20" i="6"/>
  <c r="J19" i="6"/>
  <c r="J18" i="6"/>
  <c r="J17" i="6"/>
  <c r="J16" i="6"/>
  <c r="J15" i="6"/>
  <c r="J14" i="6"/>
  <c r="K75" i="6"/>
  <c r="K74" i="6"/>
  <c r="K73" i="6"/>
  <c r="K72" i="6"/>
  <c r="K71" i="6"/>
  <c r="K70" i="6"/>
  <c r="K69" i="6"/>
  <c r="K68" i="6"/>
  <c r="K65" i="6"/>
  <c r="K64" i="6"/>
  <c r="K63" i="6"/>
  <c r="K62" i="6"/>
  <c r="K61" i="6"/>
  <c r="K60" i="6"/>
  <c r="K59" i="6"/>
  <c r="K58" i="6"/>
  <c r="K55" i="6"/>
  <c r="K54" i="6"/>
  <c r="K53" i="6"/>
  <c r="K52" i="6"/>
  <c r="K51" i="6"/>
  <c r="K50" i="6"/>
  <c r="K49" i="6"/>
  <c r="K48" i="6"/>
  <c r="K41" i="6"/>
  <c r="K40" i="6"/>
  <c r="K39" i="6"/>
  <c r="K38" i="6"/>
  <c r="K37" i="6"/>
  <c r="K36" i="6"/>
  <c r="K35" i="6"/>
  <c r="K34" i="6"/>
  <c r="K31" i="6"/>
  <c r="K30" i="6"/>
  <c r="K29" i="6"/>
  <c r="K28" i="6"/>
  <c r="K27" i="6"/>
  <c r="K26" i="6"/>
  <c r="K25" i="6"/>
  <c r="K24" i="6"/>
  <c r="K21" i="6"/>
  <c r="K20" i="6"/>
  <c r="K19" i="6"/>
  <c r="K18" i="6"/>
  <c r="K17" i="6"/>
  <c r="K16" i="6"/>
  <c r="K15" i="6"/>
  <c r="K14" i="6"/>
  <c r="I71" i="3" l="1"/>
  <c r="J71" i="3" s="1"/>
  <c r="K60" i="3" s="1"/>
  <c r="E83" i="3"/>
  <c r="I83" i="3" s="1"/>
  <c r="J83" i="3" s="1"/>
  <c r="K72" i="3" s="1"/>
  <c r="I75" i="6"/>
  <c r="H75" i="6"/>
  <c r="I74" i="6"/>
  <c r="H74" i="6"/>
  <c r="I73" i="6"/>
  <c r="H73" i="6"/>
  <c r="I72" i="6"/>
  <c r="H72" i="6"/>
  <c r="I71" i="6"/>
  <c r="H71" i="6"/>
  <c r="I70" i="6"/>
  <c r="H70" i="6"/>
  <c r="I69" i="6"/>
  <c r="H69" i="6"/>
  <c r="I65" i="6"/>
  <c r="H65" i="6"/>
  <c r="I64" i="6"/>
  <c r="H64" i="6"/>
  <c r="I63" i="6"/>
  <c r="H63" i="6"/>
  <c r="I62" i="6"/>
  <c r="H62" i="6"/>
  <c r="I61" i="6"/>
  <c r="H61" i="6"/>
  <c r="I60" i="6"/>
  <c r="H60" i="6"/>
  <c r="I59" i="6"/>
  <c r="H59" i="6"/>
  <c r="I55" i="6"/>
  <c r="H55" i="6"/>
  <c r="I54" i="6"/>
  <c r="H54" i="6"/>
  <c r="I53" i="6"/>
  <c r="H53" i="6"/>
  <c r="I52" i="6"/>
  <c r="H52" i="6"/>
  <c r="I51" i="6"/>
  <c r="H51" i="6"/>
  <c r="I50" i="6"/>
  <c r="H50" i="6"/>
  <c r="I49" i="6"/>
  <c r="H49" i="6"/>
  <c r="I41" i="6"/>
  <c r="H41" i="6"/>
  <c r="I40" i="6"/>
  <c r="H40" i="6"/>
  <c r="I39" i="6"/>
  <c r="H39" i="6"/>
  <c r="I38" i="6"/>
  <c r="H38" i="6"/>
  <c r="I37" i="6"/>
  <c r="H37" i="6"/>
  <c r="I36" i="6"/>
  <c r="H36" i="6"/>
  <c r="I35" i="6"/>
  <c r="H35" i="6"/>
  <c r="I31" i="6"/>
  <c r="H31" i="6"/>
  <c r="I30" i="6"/>
  <c r="H30" i="6"/>
  <c r="I29" i="6"/>
  <c r="H29" i="6"/>
  <c r="I28" i="6"/>
  <c r="H28" i="6"/>
  <c r="I27" i="6"/>
  <c r="H27" i="6"/>
  <c r="I26" i="6"/>
  <c r="H26" i="6"/>
  <c r="I25" i="6"/>
  <c r="H25" i="6"/>
  <c r="M61" i="6" l="1"/>
  <c r="M54" i="6"/>
  <c r="M50" i="6"/>
  <c r="M74" i="6"/>
  <c r="M70" i="6"/>
  <c r="M71" i="6"/>
  <c r="M75" i="6"/>
  <c r="M65" i="6"/>
  <c r="M72" i="6"/>
  <c r="M69" i="6"/>
  <c r="M73" i="6"/>
  <c r="M62" i="6"/>
  <c r="M59" i="6"/>
  <c r="M63" i="6"/>
  <c r="M60" i="6"/>
  <c r="M64" i="6"/>
  <c r="M29" i="6"/>
  <c r="M36" i="6"/>
  <c r="M40" i="6"/>
  <c r="M51" i="6"/>
  <c r="M55" i="6"/>
  <c r="M52" i="6"/>
  <c r="M49" i="6"/>
  <c r="M53" i="6"/>
  <c r="M30" i="6"/>
  <c r="M37" i="6"/>
  <c r="M41" i="6"/>
  <c r="M31" i="6"/>
  <c r="M38" i="6"/>
  <c r="M35" i="6"/>
  <c r="M39" i="6"/>
  <c r="M27" i="6"/>
  <c r="M28" i="6"/>
  <c r="M25" i="6"/>
  <c r="M26" i="6"/>
  <c r="I20" i="6"/>
  <c r="H20" i="6"/>
  <c r="I19" i="6"/>
  <c r="H19" i="6"/>
  <c r="I17" i="6"/>
  <c r="H17" i="6"/>
  <c r="I16" i="6"/>
  <c r="H16" i="6"/>
  <c r="I15" i="6"/>
  <c r="H15" i="6"/>
  <c r="I68" i="6"/>
  <c r="H68" i="6"/>
  <c r="I58" i="6"/>
  <c r="H58" i="6"/>
  <c r="I48" i="6"/>
  <c r="H48" i="6"/>
  <c r="I34" i="6"/>
  <c r="H34" i="6"/>
  <c r="I24" i="6"/>
  <c r="H24" i="6"/>
  <c r="I21" i="6"/>
  <c r="I18" i="6"/>
  <c r="I14" i="6"/>
  <c r="H21" i="6"/>
  <c r="H18" i="6"/>
  <c r="H14" i="6"/>
  <c r="O72" i="6" l="1"/>
  <c r="N72" i="6"/>
  <c r="R72" i="6" s="1"/>
  <c r="O62" i="6"/>
  <c r="N62" i="6"/>
  <c r="R62" i="6" s="1"/>
  <c r="O52" i="6"/>
  <c r="N52" i="6"/>
  <c r="R52" i="6" s="1"/>
  <c r="O38" i="6"/>
  <c r="N38" i="6"/>
  <c r="R38" i="6" s="1"/>
  <c r="O28" i="6"/>
  <c r="N28" i="6"/>
  <c r="R28" i="6" s="1"/>
  <c r="M58" i="6"/>
  <c r="M19" i="6"/>
  <c r="M18" i="6"/>
  <c r="M48" i="6"/>
  <c r="M34" i="6"/>
  <c r="M15" i="6"/>
  <c r="M20" i="6"/>
  <c r="M24" i="6"/>
  <c r="M21" i="6"/>
  <c r="M68" i="6"/>
  <c r="M16" i="6"/>
  <c r="M17" i="6"/>
  <c r="M14" i="6"/>
  <c r="C3" i="3"/>
  <c r="C4" i="3"/>
  <c r="C2" i="3"/>
  <c r="N68" i="6" l="1"/>
  <c r="O68" i="6"/>
  <c r="O58" i="6"/>
  <c r="N58" i="6"/>
  <c r="O48" i="6"/>
  <c r="N48" i="6"/>
  <c r="O34" i="6"/>
  <c r="N34" i="6"/>
  <c r="O24" i="6"/>
  <c r="N24" i="6"/>
  <c r="R24" i="6" s="1"/>
  <c r="O18" i="6"/>
  <c r="N18" i="6"/>
  <c r="R18" i="6" s="1"/>
  <c r="N14" i="6"/>
  <c r="O14" i="6"/>
  <c r="E105" i="3"/>
  <c r="P68" i="6" l="1"/>
  <c r="Q68" i="6" s="1"/>
  <c r="R68" i="6"/>
  <c r="P58" i="6"/>
  <c r="Q58" i="6" s="1"/>
  <c r="R58" i="6"/>
  <c r="P14" i="6"/>
  <c r="Q14" i="6" s="1"/>
  <c r="R14" i="6"/>
  <c r="P48" i="6"/>
  <c r="Q48" i="6" s="1"/>
  <c r="R48" i="6"/>
  <c r="P34" i="6"/>
  <c r="Q34" i="6" s="1"/>
  <c r="R34" i="6"/>
  <c r="P24" i="6"/>
  <c r="Q24" i="6" s="1"/>
  <c r="BJ163" i="5"/>
  <c r="AW163" i="5"/>
  <c r="AS163" i="5"/>
  <c r="AU162" i="5"/>
  <c r="AW161" i="5"/>
  <c r="AS161" i="5"/>
  <c r="BG160" i="5"/>
  <c r="AS160" i="5"/>
  <c r="AV159" i="5" l="1"/>
  <c r="BD159" i="5"/>
  <c r="AR158" i="5"/>
  <c r="BD157" i="5"/>
  <c r="AV157" i="5"/>
  <c r="AT157" i="5"/>
  <c r="BI156" i="5" l="1"/>
  <c r="BC156" i="5"/>
  <c r="AW156" i="5"/>
  <c r="AU156" i="5"/>
  <c r="AS156" i="5"/>
  <c r="BJ155" i="5"/>
  <c r="AV155" i="5"/>
  <c r="AS155" i="5"/>
  <c r="BD153" i="5"/>
  <c r="AW153" i="5"/>
  <c r="AU153" i="5"/>
  <c r="AS153" i="5"/>
  <c r="AQ153" i="5"/>
  <c r="AW154" i="5"/>
  <c r="AS154" i="5"/>
  <c r="AV151" i="5"/>
  <c r="AS150" i="5"/>
  <c r="AV150" i="5"/>
  <c r="R27" i="1"/>
  <c r="S27" i="1" s="1"/>
  <c r="A21" i="2" l="1"/>
  <c r="E23" i="2" s="1"/>
  <c r="E19" i="2" l="1"/>
  <c r="E21" i="2"/>
  <c r="E15" i="2"/>
  <c r="E17" i="2"/>
  <c r="L13" i="2"/>
  <c r="L11" i="2"/>
  <c r="L9" i="2"/>
  <c r="O10" i="2" s="1"/>
  <c r="E7" i="2" l="1"/>
  <c r="E9" i="2"/>
  <c r="I9" i="2" s="1"/>
  <c r="O9" i="2" s="1"/>
  <c r="E11" i="2"/>
  <c r="I11" i="2" s="1"/>
  <c r="I14" i="2" s="1"/>
  <c r="L14" i="2" s="1"/>
  <c r="N14" i="2" s="1"/>
  <c r="E13" i="2"/>
  <c r="BW130" i="5" l="1"/>
  <c r="BW196" i="5" l="1"/>
  <c r="BI164" i="5"/>
  <c r="BJ162" i="5"/>
  <c r="BI161" i="5"/>
  <c r="BI160" i="5"/>
  <c r="BI158" i="5"/>
  <c r="BI157" i="5"/>
  <c r="BI166" i="5"/>
  <c r="BI151" i="5"/>
  <c r="BH163" i="5"/>
  <c r="BH162" i="5"/>
  <c r="BH159" i="5"/>
  <c r="BG158" i="5"/>
  <c r="BD162" i="5"/>
  <c r="BD161" i="5"/>
  <c r="BC158" i="5"/>
  <c r="BD155" i="5"/>
  <c r="BC154" i="5"/>
  <c r="AW152" i="5"/>
  <c r="AW151" i="5"/>
  <c r="AW150" i="5"/>
  <c r="AU164" i="5"/>
  <c r="AU163" i="5"/>
  <c r="AU161" i="5"/>
  <c r="AU160" i="5"/>
  <c r="AU158" i="5"/>
  <c r="AU154" i="5"/>
  <c r="AT164" i="5"/>
  <c r="AS152" i="5"/>
  <c r="AS158" i="5"/>
  <c r="AQ154" i="5"/>
  <c r="AQ155" i="5"/>
  <c r="AQ156" i="5"/>
  <c r="AQ160" i="5"/>
  <c r="AQ161" i="5"/>
  <c r="AQ163" i="5"/>
  <c r="AQ164" i="5"/>
  <c r="AS151" i="5"/>
  <c r="AQ151" i="5"/>
  <c r="AP152" i="5"/>
  <c r="AP153" i="5"/>
  <c r="AP154" i="5"/>
  <c r="AP155" i="5"/>
  <c r="AP156" i="5"/>
  <c r="AP157" i="5"/>
  <c r="AP158" i="5"/>
  <c r="AP159" i="5"/>
  <c r="AP160" i="5"/>
  <c r="AP161" i="5"/>
  <c r="AP162" i="5"/>
  <c r="AP163" i="5"/>
  <c r="AP164" i="5"/>
  <c r="AP151" i="5"/>
  <c r="BI149" i="5"/>
  <c r="BG149" i="5"/>
  <c r="BE149" i="5"/>
  <c r="CA184" i="5"/>
  <c r="BC149" i="5"/>
  <c r="CR206" i="5"/>
  <c r="CS206" i="5" s="1"/>
  <c r="CO210" i="5"/>
  <c r="CN210" i="5"/>
  <c r="CM210" i="5"/>
  <c r="CL210" i="5"/>
  <c r="CL211" i="5"/>
  <c r="CM211" i="5"/>
  <c r="CN211" i="5"/>
  <c r="CO211" i="5"/>
  <c r="CM209" i="5"/>
  <c r="CN209" i="5"/>
  <c r="CP211" i="5"/>
  <c r="CM208" i="5"/>
  <c r="CL208" i="5"/>
  <c r="CL207" i="5"/>
  <c r="CR207" i="5" s="1"/>
  <c r="CS207" i="5" s="1"/>
  <c r="AS166" i="5" l="1"/>
  <c r="BG166" i="5"/>
  <c r="CA187" i="5" s="1"/>
  <c r="BY189" i="5" s="1"/>
  <c r="BE165" i="5"/>
  <c r="BG165" i="5"/>
  <c r="CA188" i="5"/>
  <c r="BI165" i="5"/>
  <c r="BE166" i="5"/>
  <c r="BZ187" i="5" s="1"/>
  <c r="BC166" i="5"/>
  <c r="CA186" i="5" s="1"/>
  <c r="CR210" i="5"/>
  <c r="CS210" i="5" s="1"/>
  <c r="BC165" i="5"/>
  <c r="CR211" i="5"/>
  <c r="CS211" i="5" s="1"/>
  <c r="CR208" i="5"/>
  <c r="CS208" i="5" s="1"/>
  <c r="CL209" i="5"/>
  <c r="CR209" i="5" s="1"/>
  <c r="CS209" i="5" s="1"/>
  <c r="BA149" i="5"/>
  <c r="AY149" i="5"/>
  <c r="AW149" i="5"/>
  <c r="AU149" i="5"/>
  <c r="AS149" i="5"/>
  <c r="AQ149" i="5"/>
  <c r="BZ189" i="5" l="1"/>
  <c r="CS212" i="5"/>
  <c r="CT209" i="5" s="1"/>
  <c r="AP150" i="5"/>
  <c r="Z14" i="5"/>
  <c r="Y14" i="5"/>
  <c r="Z13" i="5"/>
  <c r="Y13" i="5"/>
  <c r="CT208" i="5" l="1"/>
  <c r="CT206" i="5"/>
  <c r="CT210" i="5"/>
  <c r="CT211" i="5"/>
  <c r="CT207" i="5"/>
  <c r="BZ184" i="5"/>
  <c r="BY184" i="5"/>
  <c r="BX184" i="5"/>
  <c r="BW184" i="5"/>
  <c r="AQ150" i="5"/>
  <c r="X64" i="5"/>
  <c r="X63" i="5"/>
  <c r="X62" i="5"/>
  <c r="X61" i="5"/>
  <c r="X58" i="5"/>
  <c r="X57" i="5"/>
  <c r="X56" i="5"/>
  <c r="X55" i="5"/>
  <c r="S30" i="5"/>
  <c r="R30" i="5"/>
  <c r="Q30" i="5"/>
  <c r="P30" i="5"/>
  <c r="O30" i="5"/>
  <c r="N30" i="5"/>
  <c r="M30" i="5"/>
  <c r="L30" i="5"/>
  <c r="K30" i="5"/>
  <c r="J30" i="5"/>
  <c r="I30" i="5"/>
  <c r="H30" i="5"/>
  <c r="G30" i="5"/>
  <c r="F30" i="5"/>
  <c r="E30" i="5"/>
  <c r="D30" i="5"/>
  <c r="C30" i="5"/>
  <c r="AB29" i="5"/>
  <c r="X29" i="5"/>
  <c r="S29" i="5"/>
  <c r="R29" i="5"/>
  <c r="Q29" i="5"/>
  <c r="P29" i="5"/>
  <c r="O29" i="5"/>
  <c r="N29" i="5"/>
  <c r="M29" i="5"/>
  <c r="L29" i="5"/>
  <c r="K29" i="5"/>
  <c r="J29" i="5"/>
  <c r="I29" i="5"/>
  <c r="H29" i="5"/>
  <c r="G29" i="5"/>
  <c r="F29" i="5"/>
  <c r="E29" i="5"/>
  <c r="D29" i="5"/>
  <c r="C29" i="5"/>
  <c r="AA28" i="5"/>
  <c r="X28" i="5"/>
  <c r="S28" i="5"/>
  <c r="R28" i="5"/>
  <c r="Q28" i="5"/>
  <c r="P28" i="5"/>
  <c r="O28" i="5"/>
  <c r="N28" i="5"/>
  <c r="M28" i="5"/>
  <c r="L28" i="5"/>
  <c r="K28" i="5"/>
  <c r="J28" i="5"/>
  <c r="I28" i="5"/>
  <c r="H28" i="5"/>
  <c r="G28" i="5"/>
  <c r="F28" i="5"/>
  <c r="E28" i="5"/>
  <c r="D28" i="5"/>
  <c r="Z27" i="5"/>
  <c r="X27" i="5"/>
  <c r="T27" i="5"/>
  <c r="AB10" i="5" s="1"/>
  <c r="D27" i="5"/>
  <c r="Y26" i="5"/>
  <c r="X26" i="5"/>
  <c r="T26" i="5"/>
  <c r="AA9" i="5" s="1"/>
  <c r="AA21" i="5" s="1"/>
  <c r="AA27" i="5" s="1"/>
  <c r="D26" i="5"/>
  <c r="M25" i="5"/>
  <c r="L25" i="5"/>
  <c r="K25" i="5"/>
  <c r="J25" i="5"/>
  <c r="I25" i="5"/>
  <c r="H25" i="5"/>
  <c r="G25" i="5"/>
  <c r="F25" i="5"/>
  <c r="E25" i="5"/>
  <c r="D25" i="5"/>
  <c r="X23" i="5"/>
  <c r="X22" i="5"/>
  <c r="X21" i="5"/>
  <c r="X20" i="5"/>
  <c r="AB7" i="5"/>
  <c r="AB25" i="5" s="1"/>
  <c r="AA7" i="5"/>
  <c r="AA19" i="5" s="1"/>
  <c r="Z7" i="5"/>
  <c r="Z60" i="5" s="1"/>
  <c r="Y7" i="5"/>
  <c r="Y25" i="5" s="1"/>
  <c r="BA166" i="5" l="1"/>
  <c r="BZ186" i="5" s="1"/>
  <c r="BA165" i="5"/>
  <c r="T25" i="5"/>
  <c r="Z8" i="5" s="1"/>
  <c r="Z20" i="5" s="1"/>
  <c r="Z26" i="5" s="1"/>
  <c r="T28" i="5"/>
  <c r="AB9" i="5" s="1"/>
  <c r="AB21" i="5" s="1"/>
  <c r="AB27" i="5" s="1"/>
  <c r="T29" i="5"/>
  <c r="AA8" i="5" s="1"/>
  <c r="AA20" i="5" s="1"/>
  <c r="AA26" i="5" s="1"/>
  <c r="T30" i="5"/>
  <c r="AB13" i="5" s="1"/>
  <c r="AA14" i="5" s="1"/>
  <c r="AQ165" i="5"/>
  <c r="AQ166" i="5"/>
  <c r="BX185" i="5" s="1"/>
  <c r="AU166" i="5"/>
  <c r="AA25" i="5"/>
  <c r="AS165" i="5"/>
  <c r="BY185" i="5"/>
  <c r="BW187" i="5" s="1"/>
  <c r="AW166" i="5"/>
  <c r="CA185" i="5" s="1"/>
  <c r="AW165" i="5"/>
  <c r="AU165" i="5"/>
  <c r="AY165" i="5"/>
  <c r="AY166" i="5"/>
  <c r="BY186" i="5" s="1"/>
  <c r="CT212" i="5"/>
  <c r="CU207" i="5" s="1"/>
  <c r="CU206" i="5"/>
  <c r="AB22" i="5"/>
  <c r="AB28" i="5" s="1"/>
  <c r="AA11" i="5"/>
  <c r="AA23" i="5" s="1"/>
  <c r="AA29" i="5" s="1"/>
  <c r="Z10" i="5"/>
  <c r="Z22" i="5" s="1"/>
  <c r="Z28" i="5" s="1"/>
  <c r="BY188" i="5"/>
  <c r="AB19" i="5"/>
  <c r="Z25" i="5"/>
  <c r="AA54" i="5"/>
  <c r="AA60" i="5"/>
  <c r="Y19" i="5"/>
  <c r="AB54" i="5"/>
  <c r="AB60" i="5"/>
  <c r="Z19" i="5"/>
  <c r="Y54" i="5"/>
  <c r="Y60" i="5"/>
  <c r="Z54" i="5"/>
  <c r="S27" i="4"/>
  <c r="R27" i="4"/>
  <c r="Q27" i="4"/>
  <c r="P27" i="4"/>
  <c r="O27" i="4"/>
  <c r="N27" i="4"/>
  <c r="M27" i="4"/>
  <c r="L27" i="4"/>
  <c r="K27" i="4"/>
  <c r="J27" i="4"/>
  <c r="I27" i="4"/>
  <c r="H27" i="4"/>
  <c r="G27" i="4"/>
  <c r="F27" i="4"/>
  <c r="E27" i="4"/>
  <c r="S25" i="4"/>
  <c r="R25" i="4"/>
  <c r="Q25" i="4"/>
  <c r="P25" i="4"/>
  <c r="O25" i="4"/>
  <c r="N25" i="4"/>
  <c r="M25" i="4"/>
  <c r="L25" i="4"/>
  <c r="K25" i="4"/>
  <c r="J25" i="4"/>
  <c r="I25" i="4"/>
  <c r="H25" i="4"/>
  <c r="G25" i="4"/>
  <c r="F25" i="4"/>
  <c r="E25" i="4"/>
  <c r="E26" i="4"/>
  <c r="F26" i="4"/>
  <c r="G26" i="4"/>
  <c r="H26" i="4"/>
  <c r="I26" i="4"/>
  <c r="J26" i="4"/>
  <c r="K26" i="4"/>
  <c r="L26" i="4"/>
  <c r="M26" i="4"/>
  <c r="N26" i="4"/>
  <c r="O26" i="4"/>
  <c r="P26" i="4"/>
  <c r="Q26" i="4"/>
  <c r="R26" i="4"/>
  <c r="S26" i="4"/>
  <c r="X61" i="4"/>
  <c r="X60" i="4"/>
  <c r="X59" i="4"/>
  <c r="X58" i="4"/>
  <c r="X55" i="4"/>
  <c r="X54" i="4"/>
  <c r="X53" i="4"/>
  <c r="X52" i="4"/>
  <c r="Y9" i="5" l="1"/>
  <c r="Y21" i="5" s="1"/>
  <c r="Y27" i="5" s="1"/>
  <c r="Y10" i="5"/>
  <c r="Y22" i="5" s="1"/>
  <c r="AA37" i="5" s="1"/>
  <c r="Y11" i="5"/>
  <c r="Y23" i="5" s="1"/>
  <c r="Y29" i="5" s="1"/>
  <c r="BW189" i="5"/>
  <c r="BX187" i="5"/>
  <c r="AB8" i="5"/>
  <c r="AB20" i="5" s="1"/>
  <c r="AB26" i="5" s="1"/>
  <c r="CU211" i="5"/>
  <c r="CU209" i="5"/>
  <c r="BZ185" i="5"/>
  <c r="BW188" i="5" s="1"/>
  <c r="BX189" i="5"/>
  <c r="Z11" i="5"/>
  <c r="Z23" i="5" s="1"/>
  <c r="Z29" i="5" s="1"/>
  <c r="CU208" i="5"/>
  <c r="CU210" i="5"/>
  <c r="BW186" i="5"/>
  <c r="CB186" i="5" s="1"/>
  <c r="CC186" i="5" s="1"/>
  <c r="BX188" i="5"/>
  <c r="Y28" i="5"/>
  <c r="AA36" i="5"/>
  <c r="AB26" i="4"/>
  <c r="AA25" i="4"/>
  <c r="Z24" i="4"/>
  <c r="Y23" i="4"/>
  <c r="AB36" i="5" l="1"/>
  <c r="AB56" i="5" s="1"/>
  <c r="AB62" i="5" s="1"/>
  <c r="CB189" i="5"/>
  <c r="CB185" i="5"/>
  <c r="CC185" i="5" s="1"/>
  <c r="CB187" i="5"/>
  <c r="CC187" i="5" s="1"/>
  <c r="CB188" i="5"/>
  <c r="CC188" i="5" s="1"/>
  <c r="CC189" i="5"/>
  <c r="Z37" i="5"/>
  <c r="Z57" i="5" s="1"/>
  <c r="Z63" i="5" s="1"/>
  <c r="AB37" i="5"/>
  <c r="AI48" i="5" s="1"/>
  <c r="CU212" i="5"/>
  <c r="CW214" i="5" s="1"/>
  <c r="CW215" i="5" s="1"/>
  <c r="AB38" i="5"/>
  <c r="AB58" i="5" s="1"/>
  <c r="AB64" i="5" s="1"/>
  <c r="AB35" i="5"/>
  <c r="AI46" i="5" s="1"/>
  <c r="AA35" i="5"/>
  <c r="AA55" i="5" s="1"/>
  <c r="AA61" i="5" s="1"/>
  <c r="Z38" i="5"/>
  <c r="AE49" i="5" s="1"/>
  <c r="Z35" i="5"/>
  <c r="Z55" i="5" s="1"/>
  <c r="Z61" i="5" s="1"/>
  <c r="Z36" i="5"/>
  <c r="Z56" i="5" s="1"/>
  <c r="Z62" i="5" s="1"/>
  <c r="AA38" i="5"/>
  <c r="AA58" i="5" s="1"/>
  <c r="AA64" i="5" s="1"/>
  <c r="Y35" i="5"/>
  <c r="Y55" i="5" s="1"/>
  <c r="AA56" i="5"/>
  <c r="AA62" i="5" s="1"/>
  <c r="AG47" i="5"/>
  <c r="Y37" i="5"/>
  <c r="Y36" i="5"/>
  <c r="AI47" i="5"/>
  <c r="Y38" i="5"/>
  <c r="AI49" i="5"/>
  <c r="AG46" i="5"/>
  <c r="AA57" i="5"/>
  <c r="AA63" i="5" s="1"/>
  <c r="AG48" i="5"/>
  <c r="X26" i="4"/>
  <c r="X25" i="4"/>
  <c r="X24" i="4"/>
  <c r="X23" i="4"/>
  <c r="X20" i="4"/>
  <c r="X19" i="4"/>
  <c r="X18" i="4"/>
  <c r="X17" i="4"/>
  <c r="T27" i="4"/>
  <c r="T26" i="4"/>
  <c r="D27" i="4"/>
  <c r="D26" i="4"/>
  <c r="C27" i="4"/>
  <c r="C26" i="4"/>
  <c r="D25" i="4"/>
  <c r="D24" i="4"/>
  <c r="D23" i="4"/>
  <c r="D22" i="4"/>
  <c r="AB7" i="4"/>
  <c r="AA7" i="4"/>
  <c r="Z7" i="4"/>
  <c r="Y7" i="4"/>
  <c r="T25" i="4"/>
  <c r="AB9" i="4" s="1"/>
  <c r="T24" i="4"/>
  <c r="AB10" i="4" s="1"/>
  <c r="T23" i="4"/>
  <c r="AA9" i="4" s="1"/>
  <c r="M22" i="4"/>
  <c r="L22" i="4"/>
  <c r="K22" i="4"/>
  <c r="J22" i="4"/>
  <c r="I22" i="4"/>
  <c r="H22" i="4"/>
  <c r="G22" i="4"/>
  <c r="F22" i="4"/>
  <c r="E22" i="4"/>
  <c r="R25" i="1"/>
  <c r="R24" i="1"/>
  <c r="R23" i="1"/>
  <c r="R20" i="1"/>
  <c r="R18" i="1"/>
  <c r="R17" i="1"/>
  <c r="R21" i="1"/>
  <c r="R15" i="1"/>
  <c r="R14" i="1"/>
  <c r="R13" i="1"/>
  <c r="R12" i="1"/>
  <c r="AE47" i="5" l="1"/>
  <c r="AB57" i="5"/>
  <c r="AB63" i="5" s="1"/>
  <c r="AB55" i="5"/>
  <c r="AB61" i="5" s="1"/>
  <c r="AG49" i="5"/>
  <c r="S18" i="1"/>
  <c r="S17" i="1"/>
  <c r="S23" i="1"/>
  <c r="S25" i="1"/>
  <c r="S24" i="1"/>
  <c r="S21" i="1"/>
  <c r="S20" i="1"/>
  <c r="S15" i="1"/>
  <c r="S12" i="1"/>
  <c r="S13" i="1"/>
  <c r="S14" i="1"/>
  <c r="Z58" i="5"/>
  <c r="Z64" i="5" s="1"/>
  <c r="Z69" i="5" s="1"/>
  <c r="AE83" i="5" s="1"/>
  <c r="AE48" i="5"/>
  <c r="AE46" i="5"/>
  <c r="AC46" i="5"/>
  <c r="Y57" i="5"/>
  <c r="AC48" i="5"/>
  <c r="AK48" i="5" s="1"/>
  <c r="Y61" i="5"/>
  <c r="AB69" i="5"/>
  <c r="AI83" i="5" s="1"/>
  <c r="AA69" i="5"/>
  <c r="AG83" i="5" s="1"/>
  <c r="AC47" i="5"/>
  <c r="AK47" i="5" s="1"/>
  <c r="Y56" i="5"/>
  <c r="Y58" i="5"/>
  <c r="AC49" i="5"/>
  <c r="AK49" i="5" s="1"/>
  <c r="T22" i="4"/>
  <c r="Z8" i="4" s="1"/>
  <c r="Z17" i="4" s="1"/>
  <c r="Z57" i="4"/>
  <c r="Z51" i="4"/>
  <c r="AA57" i="4"/>
  <c r="AA51" i="4"/>
  <c r="AB57" i="4"/>
  <c r="AB51" i="4"/>
  <c r="Y57" i="4"/>
  <c r="Y51" i="4"/>
  <c r="AB19" i="4"/>
  <c r="AB25" i="4" s="1"/>
  <c r="AA11" i="4"/>
  <c r="AA20" i="4" s="1"/>
  <c r="AA26" i="4" s="1"/>
  <c r="AB8" i="4"/>
  <c r="AB17" i="4" s="1"/>
  <c r="AB23" i="4" s="1"/>
  <c r="Y11" i="4"/>
  <c r="Y20" i="4" s="1"/>
  <c r="Y9" i="4"/>
  <c r="Y18" i="4" s="1"/>
  <c r="AA8" i="4"/>
  <c r="AA17" i="4" s="1"/>
  <c r="AA23" i="4" s="1"/>
  <c r="Y10" i="4"/>
  <c r="Y19" i="4" s="1"/>
  <c r="AB18" i="4"/>
  <c r="AB24" i="4" s="1"/>
  <c r="Z11" i="4"/>
  <c r="Z20" i="4" s="1"/>
  <c r="Z26" i="4" s="1"/>
  <c r="AA18" i="4"/>
  <c r="AA24" i="4" s="1"/>
  <c r="Z10" i="4"/>
  <c r="Z19" i="4" s="1"/>
  <c r="Z25" i="4" s="1"/>
  <c r="Y16" i="4"/>
  <c r="Y22" i="4"/>
  <c r="Z16" i="4"/>
  <c r="Z22" i="4"/>
  <c r="AA16" i="4"/>
  <c r="AA22" i="4"/>
  <c r="AB16" i="4"/>
  <c r="AB22" i="4"/>
  <c r="AK46" i="5" l="1"/>
  <c r="Z72" i="5"/>
  <c r="AE86" i="5" s="1"/>
  <c r="Y64" i="5"/>
  <c r="AB72" i="5"/>
  <c r="AI86" i="5" s="1"/>
  <c r="AA72" i="5"/>
  <c r="AG86" i="5" s="1"/>
  <c r="Z71" i="5"/>
  <c r="AE85" i="5" s="1"/>
  <c r="AB71" i="5"/>
  <c r="AI85" i="5" s="1"/>
  <c r="Y63" i="5"/>
  <c r="AA71" i="5"/>
  <c r="AG85" i="5" s="1"/>
  <c r="Z70" i="5"/>
  <c r="AE84" i="5" s="1"/>
  <c r="AB70" i="5"/>
  <c r="AI84" i="5" s="1"/>
  <c r="AA70" i="5"/>
  <c r="AG84" i="5" s="1"/>
  <c r="Y62" i="5"/>
  <c r="AK50" i="5"/>
  <c r="AL46" i="5" s="1"/>
  <c r="Y25" i="4"/>
  <c r="AA34" i="4"/>
  <c r="AB34" i="4"/>
  <c r="Y26" i="4"/>
  <c r="AB35" i="4"/>
  <c r="AA35" i="4"/>
  <c r="AA32" i="4"/>
  <c r="AB32" i="4"/>
  <c r="Y24" i="4"/>
  <c r="AB33" i="4"/>
  <c r="AA33" i="4"/>
  <c r="Z23" i="4"/>
  <c r="Y69" i="5" l="1"/>
  <c r="AC83" i="5" s="1"/>
  <c r="AK83" i="5" s="1"/>
  <c r="AL49" i="5"/>
  <c r="Y93" i="5" s="1"/>
  <c r="Y71" i="5"/>
  <c r="AC85" i="5" s="1"/>
  <c r="AK85" i="5" s="1"/>
  <c r="Y90" i="5"/>
  <c r="AL47" i="5"/>
  <c r="Y91" i="5" s="1"/>
  <c r="Y70" i="5"/>
  <c r="AC84" i="5" s="1"/>
  <c r="AK84" i="5" s="1"/>
  <c r="AL48" i="5"/>
  <c r="Y92" i="5" s="1"/>
  <c r="Y72" i="5"/>
  <c r="AC86" i="5" s="1"/>
  <c r="AK86" i="5" s="1"/>
  <c r="Y33" i="4"/>
  <c r="AI46" i="4"/>
  <c r="AB55" i="4"/>
  <c r="AB61" i="4" s="1"/>
  <c r="AI44" i="4"/>
  <c r="AB53" i="4"/>
  <c r="AB59" i="4" s="1"/>
  <c r="AI43" i="4"/>
  <c r="AB52" i="4"/>
  <c r="AB58" i="4" s="1"/>
  <c r="AG43" i="4"/>
  <c r="AA52" i="4"/>
  <c r="AA58" i="4" s="1"/>
  <c r="AI45" i="4"/>
  <c r="AB54" i="4"/>
  <c r="AB60" i="4" s="1"/>
  <c r="AG46" i="4"/>
  <c r="AA55" i="4"/>
  <c r="AA61" i="4" s="1"/>
  <c r="AG45" i="4"/>
  <c r="AA54" i="4"/>
  <c r="AA60" i="4" s="1"/>
  <c r="AG44" i="4"/>
  <c r="AA53" i="4"/>
  <c r="AA59" i="4" s="1"/>
  <c r="AC44" i="4"/>
  <c r="Y53" i="4"/>
  <c r="Z33" i="4"/>
  <c r="Z32" i="4"/>
  <c r="Z34" i="4"/>
  <c r="Y34" i="4"/>
  <c r="Y35" i="4"/>
  <c r="Y32" i="4"/>
  <c r="Z35" i="4"/>
  <c r="Z99" i="5" l="1"/>
  <c r="AB99" i="5" s="1"/>
  <c r="Z100" i="5"/>
  <c r="AB100" i="5" s="1"/>
  <c r="Z98" i="5"/>
  <c r="AB98" i="5" s="1"/>
  <c r="Z97" i="5"/>
  <c r="AB97" i="5" s="1"/>
  <c r="AK87" i="5"/>
  <c r="AL83" i="5" s="1"/>
  <c r="AL50" i="5"/>
  <c r="AE44" i="4"/>
  <c r="Z53" i="4"/>
  <c r="Z59" i="4" s="1"/>
  <c r="AE46" i="4"/>
  <c r="Z55" i="4"/>
  <c r="Z61" i="4" s="1"/>
  <c r="AK44" i="4"/>
  <c r="AC43" i="4"/>
  <c r="Y52" i="4"/>
  <c r="AC46" i="4"/>
  <c r="Y55" i="4"/>
  <c r="AC45" i="4"/>
  <c r="Y54" i="4"/>
  <c r="Y59" i="4"/>
  <c r="AE43" i="4"/>
  <c r="Z52" i="4"/>
  <c r="Z58" i="4" s="1"/>
  <c r="AE45" i="4"/>
  <c r="Z54" i="4"/>
  <c r="Z60" i="4" s="1"/>
  <c r="AL86" i="5" l="1"/>
  <c r="AA93" i="5" s="1"/>
  <c r="AC93" i="5" s="1"/>
  <c r="AA90" i="5"/>
  <c r="AC90" i="5" s="1"/>
  <c r="AL85" i="5"/>
  <c r="AA92" i="5" s="1"/>
  <c r="AC92" i="5" s="1"/>
  <c r="AL84" i="5"/>
  <c r="AA91" i="5" s="1"/>
  <c r="AC91" i="5" s="1"/>
  <c r="AK45" i="4"/>
  <c r="AB67" i="4"/>
  <c r="AI81" i="4" s="1"/>
  <c r="AK46" i="4"/>
  <c r="AA67" i="4"/>
  <c r="AG81" i="4" s="1"/>
  <c r="Z67" i="4"/>
  <c r="AE81" i="4" s="1"/>
  <c r="Z69" i="4"/>
  <c r="AE83" i="4" s="1"/>
  <c r="AA69" i="4"/>
  <c r="AG83" i="4" s="1"/>
  <c r="AB69" i="4"/>
  <c r="AI83" i="4" s="1"/>
  <c r="Y61" i="4"/>
  <c r="Y60" i="4"/>
  <c r="AB68" i="4"/>
  <c r="AI82" i="4" s="1"/>
  <c r="Z68" i="4"/>
  <c r="AE82" i="4" s="1"/>
  <c r="AA68" i="4"/>
  <c r="AG82" i="4" s="1"/>
  <c r="Y58" i="4"/>
  <c r="Z66" i="4"/>
  <c r="AE80" i="4" s="1"/>
  <c r="AB66" i="4"/>
  <c r="AI80" i="4" s="1"/>
  <c r="AA66" i="4"/>
  <c r="AG80" i="4" s="1"/>
  <c r="AK43" i="4"/>
  <c r="AL87" i="5" l="1"/>
  <c r="AK47" i="4"/>
  <c r="AL46" i="4" s="1"/>
  <c r="Y90" i="4" s="1"/>
  <c r="Z97" i="4" s="1"/>
  <c r="AB97" i="4" s="1"/>
  <c r="Y66" i="4"/>
  <c r="AC80" i="4" s="1"/>
  <c r="AK80" i="4" s="1"/>
  <c r="Y69" i="4"/>
  <c r="AC83" i="4" s="1"/>
  <c r="AK83" i="4" s="1"/>
  <c r="Y67" i="4"/>
  <c r="AC81" i="4" s="1"/>
  <c r="AK81" i="4" s="1"/>
  <c r="Y68" i="4"/>
  <c r="AC82" i="4" s="1"/>
  <c r="AK82" i="4" s="1"/>
  <c r="AL45" i="4" l="1"/>
  <c r="Y89" i="4" s="1"/>
  <c r="Z96" i="4" s="1"/>
  <c r="AB96" i="4" s="1"/>
  <c r="AL43" i="4"/>
  <c r="Y87" i="4" s="1"/>
  <c r="Z94" i="4" s="1"/>
  <c r="AB94" i="4" s="1"/>
  <c r="AL44" i="4"/>
  <c r="Y88" i="4" s="1"/>
  <c r="Z95" i="4" s="1"/>
  <c r="AB95" i="4" s="1"/>
  <c r="AK84" i="4"/>
  <c r="AL47" i="4" l="1"/>
  <c r="AL80" i="4"/>
  <c r="AL83" i="4"/>
  <c r="AA90" i="4" s="1"/>
  <c r="AC90" i="4" s="1"/>
  <c r="AL82" i="4"/>
  <c r="AA89" i="4" s="1"/>
  <c r="AC89" i="4" s="1"/>
  <c r="AL81" i="4"/>
  <c r="AA88" i="4" s="1"/>
  <c r="AC88" i="4" s="1"/>
  <c r="AA87" i="4" l="1"/>
  <c r="AC87" i="4" s="1"/>
  <c r="AL84" i="4"/>
  <c r="D16" i="2" l="1"/>
  <c r="D18" i="2" s="1"/>
  <c r="D20" i="2" s="1"/>
  <c r="D22" i="2" s="1"/>
  <c r="I15" i="2"/>
  <c r="L15" i="2" l="1"/>
  <c r="N15" i="2"/>
  <c r="L16" i="2" l="1"/>
  <c r="F15" i="2" s="1"/>
  <c r="F17" i="2" s="1"/>
  <c r="F19" i="2" s="1"/>
  <c r="F21" i="2" s="1"/>
  <c r="F23" i="2" s="1"/>
  <c r="CC190" i="5"/>
  <c r="CD185" i="5" s="1"/>
  <c r="CD189" i="5" l="1"/>
  <c r="CD186" i="5"/>
  <c r="CD187" i="5"/>
  <c r="CD188" i="5"/>
  <c r="CE185" i="5" l="1"/>
  <c r="CE188" i="5"/>
  <c r="CE187" i="5"/>
  <c r="CE186" i="5"/>
  <c r="CE189" i="5"/>
  <c r="CD190" i="5"/>
  <c r="CE190" i="5" l="1"/>
  <c r="CH191" i="5" s="1"/>
  <c r="CH192" i="5" l="1"/>
  <c r="CH193" i="5" s="1"/>
</calcChain>
</file>

<file path=xl/sharedStrings.xml><?xml version="1.0" encoding="utf-8"?>
<sst xmlns="http://schemas.openxmlformats.org/spreadsheetml/2006/main" count="1004" uniqueCount="292">
  <si>
    <t>Rekapitulasi Skor Hasil Koesioner</t>
  </si>
  <si>
    <t>Kondisi Jalan</t>
  </si>
  <si>
    <t>Jalan Berlubang</t>
  </si>
  <si>
    <t>Jalan Retak</t>
  </si>
  <si>
    <t>Jalan Amblas</t>
  </si>
  <si>
    <t>Faktor Bahu Jalan</t>
  </si>
  <si>
    <t>Variabel Penilaian</t>
  </si>
  <si>
    <t>Responden</t>
  </si>
  <si>
    <t>Volume Lalu Lintas</t>
  </si>
  <si>
    <t>Jenis Kendaraan Yang Melintasi</t>
  </si>
  <si>
    <t>Jumlah Kendaraan Yang Melintasi</t>
  </si>
  <si>
    <t>Ekonomi</t>
  </si>
  <si>
    <t>Estimasi Biaya</t>
  </si>
  <si>
    <t>Kebijakan</t>
  </si>
  <si>
    <t>Usulan Musrenbang</t>
  </si>
  <si>
    <t>Ket</t>
  </si>
  <si>
    <t>Rata"</t>
  </si>
  <si>
    <t>Kondisi vs Volume</t>
  </si>
  <si>
    <t>Volume Lalin vs Ekonomi</t>
  </si>
  <si>
    <t>Ekonomi vs Kebijakan</t>
  </si>
  <si>
    <t>Volume Lalin vs Kebijakan</t>
  </si>
  <si>
    <t>V/E</t>
  </si>
  <si>
    <t>5/4</t>
  </si>
  <si>
    <t>4/4</t>
  </si>
  <si>
    <t>4/2</t>
  </si>
  <si>
    <t>Perbandingan Koesioner</t>
  </si>
  <si>
    <t>Nilai dari Perbandingan Koesioner</t>
  </si>
  <si>
    <t>Matriks Perbandingan</t>
  </si>
  <si>
    <t>E</t>
  </si>
  <si>
    <t>V</t>
  </si>
  <si>
    <t>V/Ke</t>
  </si>
  <si>
    <t>Ko/V</t>
  </si>
  <si>
    <t>E/Ke</t>
  </si>
  <si>
    <t>Ko</t>
  </si>
  <si>
    <t>Ke</t>
  </si>
  <si>
    <t>1/1</t>
  </si>
  <si>
    <t>Kondisi vs Ekonomi</t>
  </si>
  <si>
    <t>Ko/E</t>
  </si>
  <si>
    <t>Ko/Ke</t>
  </si>
  <si>
    <t>5/2</t>
  </si>
  <si>
    <t>Mengkuadradkan matriks 1 (jumlah baris x kolom)</t>
  </si>
  <si>
    <t>(literasi I)</t>
  </si>
  <si>
    <t>(Ko-Ko x Ko-Ko) + (Ko-Ve x Ko-Ve) + (Ko-E x Ko-E) + (Ko-Ke x Ko-Ke)</t>
  </si>
  <si>
    <t>...Dst...</t>
  </si>
  <si>
    <t>Hasil Kuadrat</t>
  </si>
  <si>
    <t>=</t>
  </si>
  <si>
    <t>Selanjutnya jumlahkan angka dalam matriks menurut barisnya:</t>
  </si>
  <si>
    <t>+</t>
  </si>
  <si>
    <t>BOBOT</t>
  </si>
  <si>
    <t>Mengkuadradkan matriks 2 (jumlah baris x kolom)</t>
  </si>
  <si>
    <t>(MATRIK 2)</t>
  </si>
  <si>
    <t>(MATRIK 1)</t>
  </si>
  <si>
    <t>Hitung selisih antara vektor Matrik 1 dan 2 dalam Iterasi II</t>
  </si>
  <si>
    <t>-</t>
  </si>
  <si>
    <t>Hasil selisih iterasi mendekati nilai 0, ini menunjukkan urutan prioritas pada matrik 1 dapat dipakai</t>
  </si>
  <si>
    <t>Volume Lalin</t>
  </si>
  <si>
    <t>Kebijakan vs Kondisi</t>
  </si>
  <si>
    <t>x 100%  =</t>
  </si>
  <si>
    <t>%</t>
  </si>
  <si>
    <t>4/3</t>
  </si>
  <si>
    <t>2/4</t>
  </si>
  <si>
    <t>Hasil perbandingan unsur penilaian dijadikan ke dalam bentuk desimal</t>
  </si>
  <si>
    <t>LAMPIRAN PERHITUNGAN PENELITIAN</t>
  </si>
  <si>
    <t xml:space="preserve">PERENCANAAN PEMELIHARAAN JALAN DANPENENTUAN SKALA PRIORITAS PEMELIHARAAN JALAN 
</t>
  </si>
  <si>
    <t>STUDI  KASUS KOTA PAYAKUMBUH PROVINSI SUMATERA BARAT</t>
  </si>
  <si>
    <t>R1</t>
  </si>
  <si>
    <t>R2</t>
  </si>
  <si>
    <t>R3</t>
  </si>
  <si>
    <t>R4</t>
  </si>
  <si>
    <t>R5</t>
  </si>
  <si>
    <t>R6</t>
  </si>
  <si>
    <t>Ko-E</t>
  </si>
  <si>
    <t>Ko-Ke</t>
  </si>
  <si>
    <t>V-E</t>
  </si>
  <si>
    <t>V-Ke</t>
  </si>
  <si>
    <t>E-Ke</t>
  </si>
  <si>
    <t>Jumlah Baris</t>
  </si>
  <si>
    <t>Eigen Vector (xi)</t>
  </si>
  <si>
    <t>Nilai Eigen (Ai)</t>
  </si>
  <si>
    <t>CI</t>
  </si>
  <si>
    <t>CR</t>
  </si>
  <si>
    <t>R7</t>
  </si>
  <si>
    <t>R8</t>
  </si>
  <si>
    <t>R9</t>
  </si>
  <si>
    <t>Ko-V</t>
  </si>
  <si>
    <t>A</t>
  </si>
  <si>
    <t>B</t>
  </si>
  <si>
    <t>C</t>
  </si>
  <si>
    <t>D</t>
  </si>
  <si>
    <t>F</t>
  </si>
  <si>
    <t>Matriks "n"  =</t>
  </si>
  <si>
    <t>Kondisi</t>
  </si>
  <si>
    <t>Volume</t>
  </si>
  <si>
    <t>Nilai RI         =</t>
  </si>
  <si>
    <t>R10</t>
  </si>
  <si>
    <t>R11</t>
  </si>
  <si>
    <t>R12</t>
  </si>
  <si>
    <t>R13</t>
  </si>
  <si>
    <t>R14</t>
  </si>
  <si>
    <t>R15</t>
  </si>
  <si>
    <t>**)</t>
  </si>
  <si>
    <t>:</t>
  </si>
  <si>
    <t>Nilai Eigen</t>
  </si>
  <si>
    <r>
      <t>Updating</t>
    </r>
    <r>
      <rPr>
        <sz val="12"/>
        <color theme="1"/>
        <rFont val="Times New Roman"/>
        <family val="1"/>
      </rPr>
      <t xml:space="preserve"> data</t>
    </r>
  </si>
  <si>
    <t xml:space="preserve">misalkan </t>
  </si>
  <si>
    <t>x</t>
  </si>
  <si>
    <t>y</t>
  </si>
  <si>
    <t>No</t>
  </si>
  <si>
    <t>Tahun</t>
  </si>
  <si>
    <t>% Mantap</t>
  </si>
  <si>
    <t>Perubahan % mantap</t>
  </si>
  <si>
    <t>Target RPJM</t>
  </si>
  <si>
    <t>Besar Investasi    (jt)</t>
  </si>
  <si>
    <t>Keterangan</t>
  </si>
  <si>
    <t>R/15</t>
  </si>
  <si>
    <t>Erwin, S.ST, MT</t>
  </si>
  <si>
    <t>Henny Gustiningsih, Spt, M.Si</t>
  </si>
  <si>
    <t>Loren Hari, ST, M.Si</t>
  </si>
  <si>
    <t>Junaidi Alba, ST</t>
  </si>
  <si>
    <t>Zailendra S.Ip, M.Ip</t>
  </si>
  <si>
    <t>Alfirdaus Rahmadi A.Md</t>
  </si>
  <si>
    <t>Murdifin ST, M.Si</t>
  </si>
  <si>
    <t>Wince Mursal</t>
  </si>
  <si>
    <t>Hendri Murdi, ST</t>
  </si>
  <si>
    <t>Pefilla Azizah</t>
  </si>
  <si>
    <t>Muhammad Ikhsan, ST</t>
  </si>
  <si>
    <t>Konsultan</t>
  </si>
  <si>
    <t>Ibnu Kurniadi, ST</t>
  </si>
  <si>
    <t>Wangga, ST</t>
  </si>
  <si>
    <t>Yulia Hesti, ST, M.Si</t>
  </si>
  <si>
    <t>Daftar Sumber Kuisioner</t>
  </si>
  <si>
    <t>Kepala Bidang Bina Marga</t>
  </si>
  <si>
    <t>Kasi Pemeliharaan Jalan dan Jembatan</t>
  </si>
  <si>
    <t>Kasi Peningkatan Jalan dan Jembatan</t>
  </si>
  <si>
    <t>Staff Perencana Jalan</t>
  </si>
  <si>
    <t>Kasubag Keuangan</t>
  </si>
  <si>
    <t>Bappeda Kota Payakumbuh</t>
  </si>
  <si>
    <t>Konsultan Perencana</t>
  </si>
  <si>
    <t>Kasubag Program dan Perencanaan</t>
  </si>
  <si>
    <t>Nama Ruas Jalan</t>
  </si>
  <si>
    <t>Kriteria</t>
  </si>
  <si>
    <t>Sub Kriteria</t>
  </si>
  <si>
    <t>Indeks</t>
  </si>
  <si>
    <t>Nilai</t>
  </si>
  <si>
    <t>Kriteria Penilaian</t>
  </si>
  <si>
    <t>Sub Kriteria Penilaian</t>
  </si>
  <si>
    <t>Berlubang</t>
  </si>
  <si>
    <t>Retak</t>
  </si>
  <si>
    <t>Amblas</t>
  </si>
  <si>
    <t>Bahu</t>
  </si>
  <si>
    <t>b</t>
  </si>
  <si>
    <t>a</t>
  </si>
  <si>
    <t>c</t>
  </si>
  <si>
    <t>d</t>
  </si>
  <si>
    <t>e</t>
  </si>
  <si>
    <t>Jalan Rambutan</t>
  </si>
  <si>
    <t>Jenis Kendaraan Lewat</t>
  </si>
  <si>
    <t>Volume Kendaraan</t>
  </si>
  <si>
    <t>Total Bobot</t>
  </si>
  <si>
    <r>
      <t xml:space="preserve">f = </t>
    </r>
    <r>
      <rPr>
        <b/>
        <sz val="11"/>
        <color theme="1"/>
        <rFont val="Symbol"/>
        <family val="1"/>
        <charset val="2"/>
      </rPr>
      <t>å</t>
    </r>
    <r>
      <rPr>
        <b/>
        <sz val="11"/>
        <color theme="1"/>
        <rFont val="Calibri"/>
        <family val="2"/>
        <charset val="1"/>
      </rPr>
      <t>(f)</t>
    </r>
  </si>
  <si>
    <t>No.</t>
  </si>
  <si>
    <t>Jalan Kecubung</t>
  </si>
  <si>
    <t>Kebijakan Lain</t>
  </si>
  <si>
    <t>Jalan Padang Durian</t>
  </si>
  <si>
    <t>Jalan Soetan Usman</t>
  </si>
  <si>
    <t>Jalan Tengku Lareh</t>
  </si>
  <si>
    <t>Jalan Sutami</t>
  </si>
  <si>
    <t>(Lampiran 2)</t>
  </si>
  <si>
    <t>(Lampiran 3)</t>
  </si>
  <si>
    <t>(Lampiran 4)</t>
  </si>
  <si>
    <t>REKAPITULASI HASIL JAWABAN RESPONDEN TERHADAP KRITERIA PERBANDINGAN</t>
  </si>
  <si>
    <r>
      <t>å</t>
    </r>
    <r>
      <rPr>
        <sz val="9.35"/>
        <color theme="1"/>
        <rFont val="Gandhi Serif"/>
        <family val="3"/>
      </rPr>
      <t>R</t>
    </r>
  </si>
  <si>
    <r>
      <t xml:space="preserve">Nilai </t>
    </r>
    <r>
      <rPr>
        <i/>
        <sz val="11"/>
        <color theme="1"/>
        <rFont val="Gandhi Serif"/>
        <family val="3"/>
      </rPr>
      <t>Wi</t>
    </r>
  </si>
  <si>
    <r>
      <t>λ</t>
    </r>
    <r>
      <rPr>
        <sz val="7.7"/>
        <color theme="1"/>
        <rFont val="Gandhi Serif"/>
        <family val="3"/>
      </rPr>
      <t xml:space="preserve"> maks</t>
    </r>
  </si>
  <si>
    <r>
      <t xml:space="preserve">: </t>
    </r>
    <r>
      <rPr>
        <i/>
        <sz val="11"/>
        <color theme="1"/>
        <rFont val="Gandhi Serif"/>
        <family val="3"/>
      </rPr>
      <t>a</t>
    </r>
    <r>
      <rPr>
        <i/>
        <vertAlign val="subscript"/>
        <sz val="11"/>
        <color theme="1"/>
        <rFont val="Gandhi Serif"/>
        <family val="3"/>
      </rPr>
      <t>11</t>
    </r>
    <r>
      <rPr>
        <i/>
        <sz val="11"/>
        <color theme="1"/>
        <rFont val="Gandhi Serif"/>
        <family val="3"/>
      </rPr>
      <t xml:space="preserve"> x a</t>
    </r>
    <r>
      <rPr>
        <i/>
        <vertAlign val="subscript"/>
        <sz val="11"/>
        <color theme="1"/>
        <rFont val="Gandhi Serif"/>
        <family val="3"/>
      </rPr>
      <t>12</t>
    </r>
    <r>
      <rPr>
        <i/>
        <sz val="11"/>
        <color theme="1"/>
        <rFont val="Gandhi Serif"/>
        <family val="3"/>
      </rPr>
      <t xml:space="preserve"> x a</t>
    </r>
    <r>
      <rPr>
        <i/>
        <vertAlign val="subscript"/>
        <sz val="11"/>
        <color theme="1"/>
        <rFont val="Gandhi Serif"/>
        <family val="3"/>
      </rPr>
      <t>13</t>
    </r>
    <r>
      <rPr>
        <i/>
        <sz val="11"/>
        <color theme="1"/>
        <rFont val="Gandhi Serif"/>
        <family val="3"/>
      </rPr>
      <t xml:space="preserve"> x a</t>
    </r>
    <r>
      <rPr>
        <i/>
        <vertAlign val="subscript"/>
        <sz val="11"/>
        <color theme="1"/>
        <rFont val="Gandhi Serif"/>
        <family val="3"/>
      </rPr>
      <t>14</t>
    </r>
    <r>
      <rPr>
        <i/>
        <sz val="11"/>
        <color theme="1"/>
        <rFont val="Gandhi Serif"/>
        <family val="3"/>
      </rPr>
      <t xml:space="preserve"> x a</t>
    </r>
    <r>
      <rPr>
        <i/>
        <vertAlign val="subscript"/>
        <sz val="11"/>
        <color theme="1"/>
        <rFont val="Gandhi Serif"/>
        <family val="3"/>
      </rPr>
      <t>15</t>
    </r>
    <r>
      <rPr>
        <i/>
        <sz val="11"/>
        <color theme="1"/>
        <rFont val="Gandhi Serif"/>
        <family val="3"/>
      </rPr>
      <t xml:space="preserve"> x a</t>
    </r>
    <r>
      <rPr>
        <i/>
        <vertAlign val="subscript"/>
        <sz val="11"/>
        <color theme="1"/>
        <rFont val="Gandhi Serif"/>
        <family val="3"/>
      </rPr>
      <t>16</t>
    </r>
  </si>
  <si>
    <r>
      <t xml:space="preserve">Nilai </t>
    </r>
    <r>
      <rPr>
        <i/>
        <sz val="11"/>
        <color theme="1"/>
        <rFont val="Gandhi Serif"/>
        <family val="3"/>
      </rPr>
      <t>wi</t>
    </r>
  </si>
  <si>
    <t>(Lampiran 5)</t>
  </si>
  <si>
    <t>PENILAIAN JAWABAN RESPONDEN TERHADAP KRITERIA PERBANDINGAN</t>
  </si>
  <si>
    <t>(Lampiran 6)</t>
  </si>
  <si>
    <t>PERHITUNGAN RUMUSAN PRIORITAS JALAN</t>
  </si>
  <si>
    <t>(Lampiran 7)</t>
  </si>
  <si>
    <t>Rekapitulasi Hasil Jawaban Koesioner Terhadap Sub Kriteria</t>
  </si>
  <si>
    <t>Manfaat kegiatan secara ekonomi</t>
  </si>
  <si>
    <t>Estimasi Biaya Kegiatan</t>
  </si>
  <si>
    <t>Merupakan kawasan pengembangan wilayah</t>
  </si>
  <si>
    <t>Lainnya (perintah kepala daerah &amp; DPR)</t>
  </si>
  <si>
    <t>Aksesibilitas</t>
  </si>
  <si>
    <t>Tingkat Aksesibilitas Jalan</t>
  </si>
  <si>
    <t>KTU UPTD Laboratorium</t>
  </si>
  <si>
    <t>PUPR</t>
  </si>
  <si>
    <t>BAPPEDA</t>
  </si>
  <si>
    <t>Data Volume Lalu Lintas</t>
  </si>
  <si>
    <t>Waktu</t>
  </si>
  <si>
    <t>Kend. Ringan</t>
  </si>
  <si>
    <t>Kend. Berat</t>
  </si>
  <si>
    <t>Sepeda Motor</t>
  </si>
  <si>
    <t>Total</t>
  </si>
  <si>
    <t>Jumlah Kendaraan</t>
  </si>
  <si>
    <t>(kendaraan)</t>
  </si>
  <si>
    <t>7 = 2 x 1</t>
  </si>
  <si>
    <t>11 = 7+8+9+10</t>
  </si>
  <si>
    <t>Ruas Jalan</t>
  </si>
  <si>
    <t>6 = 2+3+4+5</t>
  </si>
  <si>
    <t>Jl. Rambutan</t>
  </si>
  <si>
    <t>Jl. Sutan Usman</t>
  </si>
  <si>
    <t>Jl. Kecubung</t>
  </si>
  <si>
    <t>Jl. Sutami</t>
  </si>
  <si>
    <t>Jl. Tengku Lareh</t>
  </si>
  <si>
    <t>Kend. Tak Bermotor</t>
  </si>
  <si>
    <t>07:30 - 07:45</t>
  </si>
  <si>
    <t>07:45 - 08:00</t>
  </si>
  <si>
    <t>08:00 - 08:15</t>
  </si>
  <si>
    <t>08:15 - 08:30</t>
  </si>
  <si>
    <t>17:00 - 17:15</t>
  </si>
  <si>
    <t>17:15 - 17:30</t>
  </si>
  <si>
    <t>17:30 - 17:45</t>
  </si>
  <si>
    <t>17:45 - 18:00</t>
  </si>
  <si>
    <r>
      <rPr>
        <b/>
        <sz val="11"/>
        <color theme="1"/>
        <rFont val="Symbol"/>
        <family val="1"/>
        <charset val="2"/>
      </rPr>
      <t>å</t>
    </r>
    <r>
      <rPr>
        <b/>
        <sz val="11"/>
        <color theme="1"/>
        <rFont val="Calibri"/>
        <family val="2"/>
        <scheme val="minor"/>
      </rPr>
      <t>V</t>
    </r>
  </si>
  <si>
    <t>4 x V.max</t>
  </si>
  <si>
    <t>PHF</t>
  </si>
  <si>
    <t>PHF (dalam hari)</t>
  </si>
  <si>
    <r>
      <t xml:space="preserve">12 = </t>
    </r>
    <r>
      <rPr>
        <b/>
        <sz val="11"/>
        <color theme="1"/>
        <rFont val="Symbol"/>
        <family val="1"/>
        <charset val="2"/>
      </rPr>
      <t>å11</t>
    </r>
  </si>
  <si>
    <t>13 = 12/10%</t>
  </si>
  <si>
    <t>LHR   (asumsi       PHV=10%)</t>
  </si>
  <si>
    <t>cara perhitungan :</t>
  </si>
  <si>
    <t>https://www.scribd.com/document/113922741/Menghitung-Volume-Kendaraan</t>
  </si>
  <si>
    <t>(smp) - jam</t>
  </si>
  <si>
    <t>(smp) - hari</t>
  </si>
  <si>
    <t>Jl. Padang Durian</t>
  </si>
  <si>
    <t>Ket :</t>
  </si>
  <si>
    <t>- Kendaraan Ringan</t>
  </si>
  <si>
    <t>9 = 4 x 0,2</t>
  </si>
  <si>
    <t>8 = 3 x 1,5</t>
  </si>
  <si>
    <t>10 = 5 x 0,5</t>
  </si>
  <si>
    <t>: Mobil penumpang, pick up/mobil barang ringan, taxi</t>
  </si>
  <si>
    <t>- Kendaraan Berat</t>
  </si>
  <si>
    <t>: Mobil barang &gt;2,5 ton</t>
  </si>
  <si>
    <t>- Kendaraan Tak Bermotor</t>
  </si>
  <si>
    <t>: Becak</t>
  </si>
  <si>
    <t>- Sepeda Bermotor</t>
  </si>
  <si>
    <t>: Sepeda motor &amp; sepeda</t>
  </si>
  <si>
    <t>Kepala UPT Laboratorium</t>
  </si>
  <si>
    <t>Ko-A</t>
  </si>
  <si>
    <t>V-A</t>
  </si>
  <si>
    <t>E-A</t>
  </si>
  <si>
    <t>Ke-A</t>
  </si>
  <si>
    <t>Fitra Harianto, ST</t>
  </si>
  <si>
    <r>
      <t xml:space="preserve">g= </t>
    </r>
    <r>
      <rPr>
        <b/>
        <sz val="11"/>
        <color theme="1"/>
        <rFont val="Calibri"/>
        <family val="2"/>
        <charset val="1"/>
      </rPr>
      <t>e x f</t>
    </r>
  </si>
  <si>
    <t>Dampak Manfaat</t>
  </si>
  <si>
    <t>Pengembangan Wilayah</t>
  </si>
  <si>
    <t>I</t>
  </si>
  <si>
    <t>Urutan Prioritas</t>
  </si>
  <si>
    <t>II</t>
  </si>
  <si>
    <t>III</t>
  </si>
  <si>
    <t>IV</t>
  </si>
  <si>
    <t>VI</t>
  </si>
  <si>
    <t>Nama Jalan</t>
  </si>
  <si>
    <t>Lokasi Survey</t>
  </si>
  <si>
    <t>Cuaca</t>
  </si>
  <si>
    <t>Tipe</t>
  </si>
  <si>
    <t>Angkot, Sedan, Jeep, Mobil Pribadi dan Pick Up</t>
  </si>
  <si>
    <t>Bus Besar, Truk</t>
  </si>
  <si>
    <t>Kendaraan Tidak Bermotor</t>
  </si>
  <si>
    <t>Jam 07:30 - 08:30</t>
  </si>
  <si>
    <t>Kendaraan Ringan</t>
  </si>
  <si>
    <t>Kendaraan Berat</t>
  </si>
  <si>
    <t>Jam 17:00 - 18:00</t>
  </si>
  <si>
    <t>SURVEY KENDARAAN YANG MELINTASI RUAS JALAN</t>
  </si>
  <si>
    <t>(Lampiran 8)</t>
  </si>
  <si>
    <t>Menghitung Volume Lalu Lintas</t>
  </si>
  <si>
    <t xml:space="preserve">1.1.1 Perhitungan LHR Jalan
Lalu Lintas Harian Rata-rata (LHR) adalah volume lalu lintas yang dua arah yang melalui suatu titik rata-rata dalam satu hari, biasanya dihitung sepanjang tahun. Akan tetapi dalam penulisan tesis ini, penulis mencoba memprediksi nilai LHR jalan berdasarkan hasil survey pada lama pengamatan tertentu, sebagaimana dicontohkan cara perhitungan LHR pada  PPGJR No13/1997 :
</t>
  </si>
  <si>
    <t xml:space="preserve">PHV </t>
  </si>
  <si>
    <t>: Peak Hour Volume yaitu volume jam puncak yang tersusun dari volume15 menitan tersibuk berurutan selama 1 jam.</t>
  </si>
  <si>
    <t xml:space="preserve">PHF </t>
  </si>
  <si>
    <t>: Peak Hour Factor yaitu faktor jam puncak yang diperoleh dari ,PHV dibagidg 4x volume maks pada volume 15 menitan di PHV</t>
  </si>
  <si>
    <t>: Lalu lintas harian rata-rata selama 24 jam</t>
  </si>
  <si>
    <t xml:space="preserve">LHR </t>
  </si>
  <si>
    <t>Metode pengumpulan data :</t>
  </si>
  <si>
    <t>Pengamatan dilakukan dengan interval waktu 15 menit</t>
  </si>
  <si>
    <t>Lama pengamatan : 2 jam (minimal), 16 jam, 24 jam, 48 jam.</t>
  </si>
  <si>
    <r>
      <t xml:space="preserve">: </t>
    </r>
    <r>
      <rPr>
        <sz val="11"/>
        <color theme="1"/>
        <rFont val="Calibri"/>
        <family val="2"/>
      </rPr>
      <t>Σ</t>
    </r>
    <r>
      <rPr>
        <sz val="11"/>
        <color theme="1"/>
        <rFont val="Calibri"/>
        <family val="2"/>
        <charset val="1"/>
      </rPr>
      <t>V</t>
    </r>
  </si>
  <si>
    <t>LHR</t>
  </si>
  <si>
    <t>(Asumsi peningkatan volume pada jam puncak)</t>
  </si>
  <si>
    <t xml:space="preserve">: 10% </t>
  </si>
  <si>
    <t>: PHV / PHF</t>
  </si>
  <si>
    <t>catatan cara perhitungan LHR didapat dari:</t>
  </si>
  <si>
    <r>
      <t>Nilai Eigen (a</t>
    </r>
    <r>
      <rPr>
        <b/>
        <i/>
        <vertAlign val="subscript"/>
        <sz val="11"/>
        <color theme="1"/>
        <rFont val="Gandhi Serif"/>
        <family val="3"/>
      </rPr>
      <t>i</t>
    </r>
    <r>
      <rPr>
        <b/>
        <i/>
        <sz val="11"/>
        <color theme="1"/>
        <rFont val="Gandhi Serif"/>
        <family val="3"/>
      </rPr>
      <t>)</t>
    </r>
  </si>
  <si>
    <t>Nilai Wi</t>
  </si>
  <si>
    <r>
      <t>: wi + (</t>
    </r>
    <r>
      <rPr>
        <i/>
        <sz val="11"/>
        <color theme="1"/>
        <rFont val="Gandhi Serif"/>
        <family val="3"/>
      </rPr>
      <t>x</t>
    </r>
    <r>
      <rPr>
        <i/>
        <vertAlign val="subscript"/>
        <sz val="11"/>
        <color theme="1"/>
        <rFont val="Gandhi Serif"/>
        <family val="3"/>
      </rPr>
      <t>i1</t>
    </r>
    <r>
      <rPr>
        <sz val="11"/>
        <color theme="1"/>
        <rFont val="Gandhi Serif"/>
        <family val="3"/>
      </rPr>
      <t xml:space="preserve"> x</t>
    </r>
    <r>
      <rPr>
        <i/>
        <sz val="11"/>
        <color theme="1"/>
        <rFont val="Gandhi Serif"/>
        <family val="3"/>
      </rPr>
      <t xml:space="preserve"> x</t>
    </r>
    <r>
      <rPr>
        <i/>
        <vertAlign val="subscript"/>
        <sz val="11"/>
        <color theme="1"/>
        <rFont val="Gandhi Serif"/>
        <family val="3"/>
      </rPr>
      <t>i2</t>
    </r>
    <r>
      <rPr>
        <sz val="11"/>
        <color theme="1"/>
        <rFont val="Gandhi Serif"/>
        <family val="3"/>
      </rPr>
      <t xml:space="preserve"> x </t>
    </r>
    <r>
      <rPr>
        <i/>
        <sz val="11"/>
        <color theme="1"/>
        <rFont val="Gandhi Serif"/>
        <family val="3"/>
      </rPr>
      <t>x</t>
    </r>
    <r>
      <rPr>
        <i/>
        <vertAlign val="subscript"/>
        <sz val="11"/>
        <color theme="1"/>
        <rFont val="Gandhi Serif"/>
        <family val="3"/>
      </rPr>
      <t>i3</t>
    </r>
    <r>
      <rPr>
        <sz val="11"/>
        <color theme="1"/>
        <rFont val="Gandhi Serif"/>
        <family val="3"/>
      </rPr>
      <t xml:space="preserve"> x </t>
    </r>
    <r>
      <rPr>
        <i/>
        <sz val="11"/>
        <color theme="1"/>
        <rFont val="Gandhi Serif"/>
        <family val="3"/>
      </rPr>
      <t>x</t>
    </r>
    <r>
      <rPr>
        <i/>
        <vertAlign val="subscript"/>
        <sz val="11"/>
        <color theme="1"/>
        <rFont val="Gandhi Serif"/>
        <family val="3"/>
      </rPr>
      <t>i4</t>
    </r>
    <r>
      <rPr>
        <sz val="11"/>
        <color theme="1"/>
        <rFont val="Gandhi Serif"/>
        <family val="3"/>
      </rPr>
      <t xml:space="preserve"> x </t>
    </r>
    <r>
      <rPr>
        <i/>
        <sz val="11"/>
        <color theme="1"/>
        <rFont val="Gandhi Serif"/>
        <family val="3"/>
      </rPr>
      <t>x</t>
    </r>
    <r>
      <rPr>
        <i/>
        <vertAlign val="subscript"/>
        <sz val="11"/>
        <color theme="1"/>
        <rFont val="Gandhi Serif"/>
        <family val="3"/>
      </rPr>
      <t>i5)</t>
    </r>
  </si>
  <si>
    <t>KONSULTAN BIDANG BINA MARGA</t>
  </si>
  <si>
    <t>LAMPIRAN</t>
  </si>
  <si>
    <r>
      <t xml:space="preserve">f = </t>
    </r>
    <r>
      <rPr>
        <b/>
        <sz val="11"/>
        <color theme="1"/>
        <rFont val="Symbol"/>
        <family val="1"/>
        <charset val="2"/>
      </rPr>
      <t>å</t>
    </r>
    <r>
      <rPr>
        <b/>
        <sz val="11"/>
        <color theme="1"/>
        <rFont val="Calibri"/>
        <family val="2"/>
        <charset val="1"/>
      </rPr>
      <t>(b x 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</si>
</sst>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0.000"/>
    <numFmt numFmtId="165" formatCode="_(* #,##0.00_);_(* \(#,##0.00\);_(* &quot;-&quot;_);_(@_)"/>
  </numFmts>
  <fonts count="38" x14ac:knownFonts="1">
    <font>
      <sz val="11"/>
      <color theme="1"/>
      <name val="Calibri"/>
      <family val="2"/>
      <charset val="1"/>
      <scheme val="minor"/>
    </font>
    <font>
      <sz val="11"/>
      <color rgb="FFFF0000"/>
      <name val="Calibri"/>
      <family val="2"/>
      <charset val="1"/>
      <scheme val="minor"/>
    </font>
    <font>
      <b/>
      <sz val="11"/>
      <color theme="1"/>
      <name val="Calibri"/>
      <family val="2"/>
      <scheme val="minor"/>
    </font>
    <font>
      <sz val="11"/>
      <color theme="3" tint="0.39997558519241921"/>
      <name val="Calibri"/>
      <family val="2"/>
      <charset val="1"/>
      <scheme val="minor"/>
    </font>
    <font>
      <sz val="11"/>
      <color rgb="FF5B603A"/>
      <name val="Arial"/>
      <family val="2"/>
    </font>
    <font>
      <b/>
      <sz val="14"/>
      <color theme="1"/>
      <name val="Calibri"/>
      <family val="2"/>
      <scheme val="minor"/>
    </font>
    <font>
      <b/>
      <sz val="11"/>
      <color rgb="FF5B603A"/>
      <name val="Arial"/>
      <family val="2"/>
    </font>
    <font>
      <sz val="12"/>
      <color theme="1"/>
      <name val="Times New Roman"/>
      <family val="1"/>
    </font>
    <font>
      <i/>
      <sz val="12"/>
      <color theme="1"/>
      <name val="Times New Roman"/>
      <family val="1"/>
    </font>
    <font>
      <sz val="11"/>
      <color theme="1"/>
      <name val="Calibri"/>
      <family val="2"/>
      <charset val="1"/>
      <scheme val="minor"/>
    </font>
    <font>
      <sz val="12"/>
      <color theme="1"/>
      <name val="Calibri"/>
      <family val="2"/>
      <charset val="1"/>
      <scheme val="minor"/>
    </font>
    <font>
      <b/>
      <sz val="11"/>
      <color theme="1"/>
      <name val="Calibri"/>
      <family val="2"/>
      <charset val="1"/>
      <scheme val="minor"/>
    </font>
    <font>
      <b/>
      <sz val="11"/>
      <color theme="1"/>
      <name val="Symbol"/>
      <family val="1"/>
      <charset val="2"/>
    </font>
    <font>
      <b/>
      <sz val="11"/>
      <color theme="1"/>
      <name val="Calibri"/>
      <family val="2"/>
      <charset val="1"/>
    </font>
    <font>
      <sz val="11"/>
      <color theme="1"/>
      <name val="Gandhi Serif"/>
      <family val="3"/>
    </font>
    <font>
      <b/>
      <sz val="11"/>
      <color theme="1"/>
      <name val="Gandhi Serif"/>
      <family val="3"/>
    </font>
    <font>
      <b/>
      <sz val="14"/>
      <color theme="1"/>
      <name val="Gandhi Serif"/>
      <family val="3"/>
    </font>
    <font>
      <sz val="11"/>
      <color theme="3" tint="0.39997558519241921"/>
      <name val="Gandhi Serif"/>
      <family val="3"/>
    </font>
    <font>
      <sz val="11"/>
      <color rgb="FFFF0000"/>
      <name val="Gandhi Serif"/>
      <family val="3"/>
    </font>
    <font>
      <b/>
      <sz val="11"/>
      <color rgb="FF5B603A"/>
      <name val="Gandhi Serif"/>
      <family val="3"/>
    </font>
    <font>
      <sz val="11"/>
      <color rgb="FF5B603A"/>
      <name val="Gandhi Serif"/>
      <family val="3"/>
    </font>
    <font>
      <sz val="11"/>
      <name val="Gandhi Serif"/>
      <family val="3"/>
    </font>
    <font>
      <sz val="9.35"/>
      <color theme="1"/>
      <name val="Gandhi Serif"/>
      <family val="3"/>
    </font>
    <font>
      <b/>
      <sz val="10.5"/>
      <color theme="1"/>
      <name val="Gandhi Serif"/>
      <family val="3"/>
    </font>
    <font>
      <i/>
      <sz val="11"/>
      <color theme="1"/>
      <name val="Gandhi Serif"/>
      <family val="3"/>
    </font>
    <font>
      <i/>
      <vertAlign val="subscript"/>
      <sz val="11"/>
      <color theme="1"/>
      <name val="Gandhi Serif"/>
      <family val="3"/>
    </font>
    <font>
      <sz val="11"/>
      <color theme="0"/>
      <name val="Gandhi Serif"/>
      <family val="3"/>
    </font>
    <font>
      <b/>
      <sz val="11"/>
      <name val="Gandhi Serif"/>
      <family val="3"/>
    </font>
    <font>
      <sz val="7.7"/>
      <color theme="1"/>
      <name val="Gandhi Serif"/>
      <family val="3"/>
    </font>
    <font>
      <b/>
      <sz val="12"/>
      <color theme="1"/>
      <name val="Gandhi Serif"/>
      <family val="3"/>
    </font>
    <font>
      <sz val="12"/>
      <color theme="1"/>
      <name val="Gandhi Serif"/>
      <family val="3"/>
    </font>
    <font>
      <u/>
      <sz val="11"/>
      <color theme="10"/>
      <name val="Calibri"/>
      <family val="2"/>
      <charset val="1"/>
      <scheme val="minor"/>
    </font>
    <font>
      <sz val="11"/>
      <color theme="1"/>
      <name val="Calibri"/>
      <family val="2"/>
    </font>
    <font>
      <sz val="11"/>
      <color theme="1"/>
      <name val="Calibri"/>
      <family val="2"/>
      <charset val="1"/>
    </font>
    <font>
      <b/>
      <i/>
      <sz val="11"/>
      <color theme="1"/>
      <name val="Gandhi Serif"/>
      <family val="3"/>
    </font>
    <font>
      <b/>
      <i/>
      <vertAlign val="subscript"/>
      <sz val="11"/>
      <color theme="1"/>
      <name val="Gandhi Serif"/>
      <family val="3"/>
    </font>
    <font>
      <sz val="48"/>
      <color theme="1"/>
      <name val="Arial Black"/>
      <family val="2"/>
    </font>
    <font>
      <sz val="10"/>
      <color theme="1"/>
      <name val="Gandhi Serif"/>
      <family val="3"/>
    </font>
  </fonts>
  <fills count="5">
    <fill>
      <patternFill patternType="none"/>
    </fill>
    <fill>
      <patternFill patternType="gray125"/>
    </fill>
    <fill>
      <patternFill patternType="solid">
        <fgColor theme="0" tint="-0.499984740745262"/>
        <bgColor indexed="64"/>
      </patternFill>
    </fill>
    <fill>
      <patternFill patternType="solid">
        <fgColor theme="0" tint="-0.249977111117893"/>
        <bgColor indexed="64"/>
      </patternFill>
    </fill>
    <fill>
      <patternFill patternType="solid">
        <fgColor theme="0" tint="-0.14999847407452621"/>
        <bgColor indexed="64"/>
      </patternFill>
    </fill>
  </fills>
  <borders count="70">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double">
        <color auto="1"/>
      </right>
      <top style="thin">
        <color auto="1"/>
      </top>
      <bottom style="hair">
        <color auto="1"/>
      </bottom>
      <diagonal/>
    </border>
    <border>
      <left style="double">
        <color auto="1"/>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double">
        <color auto="1"/>
      </right>
      <top style="hair">
        <color auto="1"/>
      </top>
      <bottom style="hair">
        <color auto="1"/>
      </bottom>
      <diagonal/>
    </border>
    <border>
      <left style="double">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double">
        <color auto="1"/>
      </right>
      <top style="hair">
        <color auto="1"/>
      </top>
      <bottom style="thin">
        <color auto="1"/>
      </bottom>
      <diagonal/>
    </border>
    <border>
      <left style="double">
        <color auto="1"/>
      </left>
      <right/>
      <top style="hair">
        <color auto="1"/>
      </top>
      <bottom style="double">
        <color auto="1"/>
      </bottom>
      <diagonal/>
    </border>
    <border>
      <left/>
      <right style="thin">
        <color auto="1"/>
      </right>
      <top style="hair">
        <color auto="1"/>
      </top>
      <bottom style="double">
        <color auto="1"/>
      </bottom>
      <diagonal/>
    </border>
    <border>
      <left style="thin">
        <color auto="1"/>
      </left>
      <right style="thin">
        <color auto="1"/>
      </right>
      <top style="hair">
        <color auto="1"/>
      </top>
      <bottom style="double">
        <color auto="1"/>
      </bottom>
      <diagonal/>
    </border>
    <border>
      <left style="thin">
        <color auto="1"/>
      </left>
      <right style="double">
        <color auto="1"/>
      </right>
      <top style="hair">
        <color auto="1"/>
      </top>
      <bottom style="double">
        <color auto="1"/>
      </bottom>
      <diagonal/>
    </border>
    <border>
      <left style="double">
        <color auto="1"/>
      </left>
      <right style="thin">
        <color auto="1"/>
      </right>
      <top style="thin">
        <color auto="1"/>
      </top>
      <bottom style="hair">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double">
        <color auto="1"/>
      </bottom>
      <diagonal/>
    </border>
    <border>
      <left style="double">
        <color auto="1"/>
      </left>
      <right/>
      <top style="double">
        <color auto="1"/>
      </top>
      <bottom/>
      <diagonal/>
    </border>
    <border>
      <left/>
      <right/>
      <top style="double">
        <color auto="1"/>
      </top>
      <bottom/>
      <diagonal/>
    </border>
    <border>
      <left/>
      <right style="thin">
        <color auto="1"/>
      </right>
      <top style="double">
        <color auto="1"/>
      </top>
      <bottom/>
      <diagonal/>
    </border>
    <border>
      <left style="double">
        <color auto="1"/>
      </left>
      <right/>
      <top/>
      <bottom style="thin">
        <color auto="1"/>
      </bottom>
      <diagonal/>
    </border>
    <border>
      <left/>
      <right/>
      <top/>
      <bottom style="thin">
        <color auto="1"/>
      </bottom>
      <diagonal/>
    </border>
    <border>
      <left/>
      <right style="thin">
        <color auto="1"/>
      </right>
      <top/>
      <bottom style="thin">
        <color auto="1"/>
      </bottom>
      <diagonal/>
    </border>
    <border>
      <left style="double">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style="thin">
        <color auto="1"/>
      </right>
      <top style="hair">
        <color auto="1"/>
      </top>
      <bottom/>
      <diagonal/>
    </border>
    <border>
      <left style="thin">
        <color auto="1"/>
      </left>
      <right style="double">
        <color auto="1"/>
      </right>
      <top style="hair">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top/>
      <bottom style="double">
        <color indexed="64"/>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thin">
        <color auto="1"/>
      </left>
      <right/>
      <top/>
      <bottom style="hair">
        <color auto="1"/>
      </bottom>
      <diagonal/>
    </border>
    <border>
      <left/>
      <right style="thin">
        <color auto="1"/>
      </right>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hair">
        <color auto="1"/>
      </bottom>
      <diagonal/>
    </border>
    <border>
      <left style="thin">
        <color auto="1"/>
      </left>
      <right style="double">
        <color auto="1"/>
      </right>
      <top/>
      <bottom style="hair">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double">
        <color auto="1"/>
      </left>
      <right style="thin">
        <color auto="1"/>
      </right>
      <top style="double">
        <color auto="1"/>
      </top>
      <bottom style="hair">
        <color auto="1"/>
      </bottom>
      <diagonal/>
    </border>
    <border>
      <left style="thin">
        <color auto="1"/>
      </left>
      <right style="thin">
        <color auto="1"/>
      </right>
      <top style="double">
        <color auto="1"/>
      </top>
      <bottom style="hair">
        <color auto="1"/>
      </bottom>
      <diagonal/>
    </border>
    <border>
      <left style="thin">
        <color auto="1"/>
      </left>
      <right style="double">
        <color auto="1"/>
      </right>
      <top style="double">
        <color auto="1"/>
      </top>
      <bottom style="hair">
        <color auto="1"/>
      </bottom>
      <diagonal/>
    </border>
    <border>
      <left style="double">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double">
        <color auto="1"/>
      </left>
      <right style="thin">
        <color auto="1"/>
      </right>
      <top style="double">
        <color auto="1"/>
      </top>
      <bottom style="double">
        <color auto="1"/>
      </bottom>
      <diagonal/>
    </border>
    <border>
      <left/>
      <right style="thin">
        <color auto="1"/>
      </right>
      <top style="double">
        <color auto="1"/>
      </top>
      <bottom style="thin">
        <color indexed="64"/>
      </bottom>
      <diagonal/>
    </border>
    <border>
      <left style="double">
        <color auto="1"/>
      </left>
      <right style="thin">
        <color indexed="64"/>
      </right>
      <top/>
      <bottom style="hair">
        <color auto="1"/>
      </bottom>
      <diagonal/>
    </border>
    <border>
      <left style="double">
        <color auto="1"/>
      </left>
      <right/>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double">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double">
        <color auto="1"/>
      </bottom>
      <diagonal/>
    </border>
    <border>
      <left/>
      <right/>
      <top style="thin">
        <color indexed="64"/>
      </top>
      <bottom style="thin">
        <color auto="1"/>
      </bottom>
      <diagonal/>
    </border>
  </borders>
  <cellStyleXfs count="3">
    <xf numFmtId="0" fontId="0" fillId="0" borderId="0"/>
    <xf numFmtId="41" fontId="9" fillId="0" borderId="0" applyFont="0" applyFill="0" applyBorder="0" applyAlignment="0" applyProtection="0"/>
    <xf numFmtId="0" fontId="31" fillId="0" borderId="0" applyNumberFormat="0" applyFill="0" applyBorder="0" applyAlignment="0" applyProtection="0"/>
  </cellStyleXfs>
  <cellXfs count="421">
    <xf numFmtId="0" fontId="0" fillId="0" borderId="0" xfId="0"/>
    <xf numFmtId="0" fontId="0" fillId="0" borderId="0" xfId="0" applyAlignment="1">
      <alignment horizontal="center"/>
    </xf>
    <xf numFmtId="0" fontId="2" fillId="0" borderId="5" xfId="0" applyFont="1" applyBorder="1" applyAlignment="1">
      <alignment horizontal="center"/>
    </xf>
    <xf numFmtId="0" fontId="0" fillId="0" borderId="9" xfId="0" applyBorder="1"/>
    <xf numFmtId="0" fontId="0" fillId="0" borderId="10" xfId="0" applyBorder="1"/>
    <xf numFmtId="0" fontId="0" fillId="0" borderId="11" xfId="0" applyBorder="1"/>
    <xf numFmtId="0" fontId="0" fillId="0" borderId="19" xfId="0" applyBorder="1"/>
    <xf numFmtId="0" fontId="0" fillId="0" borderId="20" xfId="0" applyBorder="1"/>
    <xf numFmtId="0" fontId="0" fillId="0" borderId="21" xfId="0" applyBorder="1" applyAlignment="1">
      <alignment horizontal="center"/>
    </xf>
    <xf numFmtId="2" fontId="0" fillId="0" borderId="14" xfId="0" applyNumberFormat="1" applyBorder="1" applyAlignment="1">
      <alignment horizontal="center"/>
    </xf>
    <xf numFmtId="2" fontId="0" fillId="0" borderId="22" xfId="0" applyNumberFormat="1" applyBorder="1" applyAlignment="1">
      <alignment horizontal="center"/>
    </xf>
    <xf numFmtId="0" fontId="0" fillId="0" borderId="25" xfId="0" applyBorder="1"/>
    <xf numFmtId="0" fontId="0" fillId="0" borderId="26" xfId="0" applyBorder="1"/>
    <xf numFmtId="0" fontId="2" fillId="0" borderId="7" xfId="0" applyFont="1" applyBorder="1" applyAlignment="1"/>
    <xf numFmtId="0" fontId="2" fillId="0" borderId="24" xfId="0" applyFont="1" applyBorder="1" applyAlignment="1"/>
    <xf numFmtId="0" fontId="2" fillId="0" borderId="8" xfId="0" applyFont="1" applyBorder="1" applyAlignment="1"/>
    <xf numFmtId="0" fontId="0" fillId="0" borderId="12" xfId="0" applyBorder="1" applyAlignment="1">
      <alignment horizontal="center"/>
    </xf>
    <xf numFmtId="16" fontId="0" fillId="0" borderId="13" xfId="0" quotePrefix="1" applyNumberFormat="1" applyBorder="1" applyAlignment="1">
      <alignment horizontal="center"/>
    </xf>
    <xf numFmtId="0" fontId="0" fillId="0" borderId="13" xfId="0" quotePrefix="1" applyBorder="1" applyAlignment="1">
      <alignment horizontal="center"/>
    </xf>
    <xf numFmtId="0" fontId="0" fillId="0" borderId="13" xfId="0" quotePrefix="1" applyNumberFormat="1" applyBorder="1" applyAlignment="1">
      <alignment horizontal="center"/>
    </xf>
    <xf numFmtId="2" fontId="0" fillId="0" borderId="13" xfId="0" quotePrefix="1" applyNumberFormat="1" applyBorder="1" applyAlignment="1">
      <alignment horizontal="center"/>
    </xf>
    <xf numFmtId="2" fontId="0" fillId="0" borderId="0" xfId="0" applyNumberFormat="1" applyAlignment="1">
      <alignment horizontal="center"/>
    </xf>
    <xf numFmtId="0" fontId="0" fillId="0" borderId="33" xfId="0" applyBorder="1"/>
    <xf numFmtId="0" fontId="0" fillId="0" borderId="34" xfId="0" applyBorder="1"/>
    <xf numFmtId="0" fontId="0" fillId="0" borderId="35" xfId="0" applyBorder="1" applyAlignment="1">
      <alignment horizontal="center"/>
    </xf>
    <xf numFmtId="2" fontId="0" fillId="0" borderId="37" xfId="0" applyNumberFormat="1" applyBorder="1" applyAlignment="1">
      <alignment horizontal="center"/>
    </xf>
    <xf numFmtId="2" fontId="0" fillId="0" borderId="36" xfId="0" quotePrefix="1" applyNumberFormat="1" applyBorder="1" applyAlignment="1">
      <alignment horizontal="center"/>
    </xf>
    <xf numFmtId="16" fontId="0" fillId="0" borderId="36" xfId="0" quotePrefix="1" applyNumberFormat="1" applyBorder="1" applyAlignment="1">
      <alignment horizontal="center"/>
    </xf>
    <xf numFmtId="0" fontId="2" fillId="0" borderId="0" xfId="0" applyFont="1"/>
    <xf numFmtId="0" fontId="0" fillId="2" borderId="0" xfId="0" applyFill="1" applyAlignment="1">
      <alignment horizontal="center"/>
    </xf>
    <xf numFmtId="2" fontId="0" fillId="0" borderId="39" xfId="0" applyNumberFormat="1" applyBorder="1" applyAlignment="1">
      <alignment horizontal="center"/>
    </xf>
    <xf numFmtId="2" fontId="0" fillId="0" borderId="40" xfId="0" applyNumberFormat="1" applyBorder="1" applyAlignment="1">
      <alignment horizontal="center"/>
    </xf>
    <xf numFmtId="2" fontId="0" fillId="0" borderId="41" xfId="0" applyNumberFormat="1" applyBorder="1" applyAlignment="1">
      <alignment horizontal="center"/>
    </xf>
    <xf numFmtId="2" fontId="0" fillId="0" borderId="42" xfId="0" applyNumberFormat="1" applyBorder="1" applyAlignment="1">
      <alignment horizontal="center"/>
    </xf>
    <xf numFmtId="164" fontId="0" fillId="0" borderId="0" xfId="0" applyNumberFormat="1"/>
    <xf numFmtId="2" fontId="0" fillId="0" borderId="0" xfId="0" applyNumberFormat="1"/>
    <xf numFmtId="164" fontId="0" fillId="0" borderId="0" xfId="0" applyNumberFormat="1" applyAlignment="1">
      <alignment horizontal="center"/>
    </xf>
    <xf numFmtId="164" fontId="0" fillId="0" borderId="38" xfId="0" applyNumberFormat="1" applyBorder="1" applyAlignment="1">
      <alignment horizontal="center"/>
    </xf>
    <xf numFmtId="164" fontId="0" fillId="0" borderId="39" xfId="0" applyNumberFormat="1" applyBorder="1" applyAlignment="1">
      <alignment horizontal="center"/>
    </xf>
    <xf numFmtId="164" fontId="0" fillId="0" borderId="40" xfId="0" applyNumberFormat="1" applyBorder="1" applyAlignment="1">
      <alignment horizontal="center"/>
    </xf>
    <xf numFmtId="164" fontId="0" fillId="0" borderId="41" xfId="0" applyNumberFormat="1" applyBorder="1" applyAlignment="1">
      <alignment horizontal="center"/>
    </xf>
    <xf numFmtId="164" fontId="0" fillId="0" borderId="42" xfId="0" applyNumberFormat="1" applyBorder="1" applyAlignment="1">
      <alignment horizontal="center"/>
    </xf>
    <xf numFmtId="164" fontId="0" fillId="0" borderId="32" xfId="0" applyNumberFormat="1" applyBorder="1" applyAlignment="1">
      <alignment horizontal="center"/>
    </xf>
    <xf numFmtId="2" fontId="0" fillId="2" borderId="38" xfId="0" applyNumberFormat="1" applyFill="1" applyBorder="1" applyAlignment="1">
      <alignment horizontal="center"/>
    </xf>
    <xf numFmtId="2" fontId="0" fillId="2" borderId="0" xfId="0" applyNumberFormat="1" applyFill="1" applyAlignment="1">
      <alignment horizontal="center"/>
    </xf>
    <xf numFmtId="2" fontId="0" fillId="2" borderId="32" xfId="0" applyNumberFormat="1" applyFill="1" applyBorder="1" applyAlignment="1">
      <alignment horizontal="center"/>
    </xf>
    <xf numFmtId="0" fontId="4" fillId="0" borderId="0" xfId="0" applyFont="1"/>
    <xf numFmtId="164" fontId="0" fillId="0" borderId="31" xfId="0" applyNumberFormat="1" applyBorder="1"/>
    <xf numFmtId="164" fontId="2" fillId="0" borderId="0" xfId="0" applyNumberFormat="1" applyFont="1"/>
    <xf numFmtId="164" fontId="0" fillId="0" borderId="0" xfId="0" applyNumberFormat="1" applyBorder="1"/>
    <xf numFmtId="0" fontId="2" fillId="0" borderId="0" xfId="0" applyFont="1" applyAlignment="1">
      <alignment horizontal="center" vertical="center"/>
    </xf>
    <xf numFmtId="2" fontId="0" fillId="0" borderId="0" xfId="0" applyNumberFormat="1" applyFill="1" applyAlignment="1">
      <alignment horizontal="center"/>
    </xf>
    <xf numFmtId="2" fontId="0" fillId="0" borderId="38" xfId="0" applyNumberFormat="1" applyFill="1" applyBorder="1" applyAlignment="1">
      <alignment horizontal="center"/>
    </xf>
    <xf numFmtId="2" fontId="0" fillId="0" borderId="32" xfId="0" applyNumberFormat="1" applyFill="1" applyBorder="1" applyAlignment="1">
      <alignment horizontal="center"/>
    </xf>
    <xf numFmtId="2" fontId="0" fillId="0" borderId="41" xfId="0" applyNumberFormat="1" applyFill="1" applyBorder="1" applyAlignment="1">
      <alignment horizontal="center"/>
    </xf>
    <xf numFmtId="2" fontId="0" fillId="0" borderId="39" xfId="0" applyNumberFormat="1" applyFill="1" applyBorder="1" applyAlignment="1">
      <alignment horizontal="center"/>
    </xf>
    <xf numFmtId="2" fontId="0" fillId="0" borderId="42" xfId="0" applyNumberFormat="1" applyFill="1" applyBorder="1" applyAlignment="1">
      <alignment horizontal="center"/>
    </xf>
    <xf numFmtId="2" fontId="0" fillId="0" borderId="40" xfId="0" applyNumberFormat="1" applyFill="1" applyBorder="1" applyAlignment="1">
      <alignment horizontal="center"/>
    </xf>
    <xf numFmtId="0" fontId="0" fillId="2" borderId="5" xfId="0" applyFill="1" applyBorder="1"/>
    <xf numFmtId="0" fontId="0" fillId="0" borderId="5" xfId="0" applyBorder="1" applyAlignment="1">
      <alignment horizontal="center"/>
    </xf>
    <xf numFmtId="16" fontId="0" fillId="2" borderId="5" xfId="0" quotePrefix="1" applyNumberFormat="1" applyFill="1" applyBorder="1" applyAlignment="1">
      <alignment horizontal="center"/>
    </xf>
    <xf numFmtId="2" fontId="3" fillId="0" borderId="5" xfId="0" applyNumberFormat="1" applyFont="1" applyBorder="1" applyAlignment="1">
      <alignment horizontal="center"/>
    </xf>
    <xf numFmtId="2" fontId="1" fillId="0" borderId="5" xfId="0" applyNumberFormat="1" applyFont="1" applyBorder="1" applyAlignment="1">
      <alignment horizontal="center"/>
    </xf>
    <xf numFmtId="0" fontId="2" fillId="0" borderId="0" xfId="0" applyFont="1" applyAlignment="1"/>
    <xf numFmtId="0" fontId="2" fillId="0" borderId="0" xfId="0" applyFont="1" applyAlignment="1">
      <alignment wrapText="1"/>
    </xf>
    <xf numFmtId="0" fontId="2" fillId="0" borderId="0" xfId="0" applyFont="1" applyBorder="1" applyAlignment="1"/>
    <xf numFmtId="0" fontId="0" fillId="0" borderId="0" xfId="0" applyBorder="1"/>
    <xf numFmtId="0" fontId="2" fillId="0" borderId="0" xfId="0" applyFont="1" applyBorder="1" applyAlignment="1">
      <alignment horizontal="center"/>
    </xf>
    <xf numFmtId="16" fontId="2" fillId="0" borderId="0" xfId="0" applyNumberFormat="1" applyFont="1"/>
    <xf numFmtId="0" fontId="6" fillId="0" borderId="0" xfId="0" applyFont="1"/>
    <xf numFmtId="16" fontId="2" fillId="0" borderId="0" xfId="0" applyNumberFormat="1" applyFont="1" applyFill="1" applyBorder="1" applyAlignment="1">
      <alignment horizontal="left"/>
    </xf>
    <xf numFmtId="0" fontId="0" fillId="0" borderId="5" xfId="0" applyBorder="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13" xfId="0" applyBorder="1"/>
    <xf numFmtId="165" fontId="0" fillId="0" borderId="0" xfId="1" applyNumberFormat="1" applyFont="1"/>
    <xf numFmtId="4" fontId="0" fillId="0" borderId="0" xfId="0" applyNumberFormat="1"/>
    <xf numFmtId="9" fontId="0" fillId="0" borderId="0" xfId="0" applyNumberFormat="1"/>
    <xf numFmtId="43" fontId="0" fillId="0" borderId="0" xfId="0" applyNumberFormat="1"/>
    <xf numFmtId="0" fontId="7" fillId="0" borderId="54" xfId="0" applyNumberFormat="1" applyFont="1" applyBorder="1" applyAlignment="1">
      <alignment horizontal="center" vertical="center"/>
    </xf>
    <xf numFmtId="0" fontId="7" fillId="0" borderId="55" xfId="0" applyNumberFormat="1" applyFont="1" applyBorder="1" applyAlignment="1">
      <alignment horizontal="center" vertical="center"/>
    </xf>
    <xf numFmtId="0" fontId="7" fillId="0" borderId="56" xfId="0" applyNumberFormat="1" applyFont="1" applyBorder="1" applyAlignment="1">
      <alignment horizontal="center" vertical="center"/>
    </xf>
    <xf numFmtId="0" fontId="7" fillId="0" borderId="57" xfId="0" applyNumberFormat="1" applyFont="1" applyBorder="1" applyAlignment="1">
      <alignment horizontal="center" vertical="center"/>
    </xf>
    <xf numFmtId="0" fontId="7" fillId="0" borderId="13" xfId="0" applyNumberFormat="1" applyFont="1" applyBorder="1" applyAlignment="1">
      <alignment horizontal="center" vertical="center"/>
    </xf>
    <xf numFmtId="165" fontId="7" fillId="0" borderId="13" xfId="1" applyNumberFormat="1" applyFont="1" applyBorder="1" applyAlignment="1">
      <alignment horizontal="center" vertical="center"/>
    </xf>
    <xf numFmtId="0" fontId="8" fillId="0" borderId="14" xfId="0" applyNumberFormat="1" applyFont="1" applyBorder="1" applyAlignment="1">
      <alignment horizontal="center" vertical="center"/>
    </xf>
    <xf numFmtId="0" fontId="7" fillId="0" borderId="14" xfId="0" applyNumberFormat="1" applyFont="1" applyBorder="1" applyAlignment="1">
      <alignment horizontal="center" vertical="center"/>
    </xf>
    <xf numFmtId="0" fontId="10" fillId="0" borderId="57" xfId="0" applyNumberFormat="1" applyFont="1" applyBorder="1" applyAlignment="1">
      <alignment horizontal="center" vertical="center"/>
    </xf>
    <xf numFmtId="0" fontId="10" fillId="0" borderId="58" xfId="0" applyNumberFormat="1" applyFont="1" applyBorder="1" applyAlignment="1">
      <alignment horizontal="center" vertical="center"/>
    </xf>
    <xf numFmtId="0" fontId="7" fillId="0" borderId="21" xfId="0" applyNumberFormat="1" applyFont="1" applyBorder="1" applyAlignment="1">
      <alignment horizontal="center" vertical="center"/>
    </xf>
    <xf numFmtId="0" fontId="10" fillId="0" borderId="22" xfId="0" applyNumberFormat="1" applyFont="1" applyBorder="1" applyAlignment="1">
      <alignment horizontal="center" vertical="center"/>
    </xf>
    <xf numFmtId="2" fontId="7" fillId="0" borderId="21" xfId="0" applyNumberFormat="1" applyFont="1" applyBorder="1" applyAlignment="1">
      <alignment horizontal="center" vertical="center"/>
    </xf>
    <xf numFmtId="165" fontId="0" fillId="0" borderId="0" xfId="0" applyNumberFormat="1"/>
    <xf numFmtId="0" fontId="2" fillId="3" borderId="59" xfId="0" applyFont="1" applyFill="1" applyBorder="1" applyAlignment="1">
      <alignment horizontal="center" vertical="center"/>
    </xf>
    <xf numFmtId="0" fontId="2" fillId="3" borderId="52" xfId="0" applyFont="1" applyFill="1" applyBorder="1" applyAlignment="1">
      <alignment horizontal="center" vertical="center"/>
    </xf>
    <xf numFmtId="0" fontId="2" fillId="3" borderId="52" xfId="0" applyFont="1" applyFill="1" applyBorder="1" applyAlignment="1">
      <alignment horizontal="center" vertical="center" wrapText="1"/>
    </xf>
    <xf numFmtId="0" fontId="2" fillId="3" borderId="53" xfId="0" applyFont="1" applyFill="1" applyBorder="1" applyAlignment="1">
      <alignment horizontal="center" vertical="center"/>
    </xf>
    <xf numFmtId="164" fontId="0" fillId="0" borderId="5" xfId="0" applyNumberFormat="1" applyBorder="1" applyAlignment="1">
      <alignment horizontal="center" vertical="center"/>
    </xf>
    <xf numFmtId="0" fontId="0" fillId="0" borderId="5" xfId="0" applyBorder="1" applyAlignment="1">
      <alignment horizontal="center" vertical="center" wrapText="1"/>
    </xf>
    <xf numFmtId="0" fontId="0" fillId="0" borderId="63" xfId="0" applyBorder="1"/>
    <xf numFmtId="0" fontId="0" fillId="0" borderId="64" xfId="0" applyBorder="1"/>
    <xf numFmtId="0" fontId="0" fillId="0" borderId="65" xfId="0" applyBorder="1"/>
    <xf numFmtId="0" fontId="0" fillId="0" borderId="9" xfId="0" applyBorder="1" applyAlignment="1">
      <alignment horizontal="center" vertical="center"/>
    </xf>
    <xf numFmtId="0" fontId="0" fillId="0" borderId="13" xfId="0" applyBorder="1" applyAlignment="1">
      <alignment horizontal="center" vertical="center"/>
    </xf>
    <xf numFmtId="0" fontId="0" fillId="0" borderId="17" xfId="0" applyBorder="1"/>
    <xf numFmtId="0" fontId="0" fillId="0" borderId="17" xfId="0" applyBorder="1" applyAlignment="1">
      <alignment horizontal="center" vertical="center"/>
    </xf>
    <xf numFmtId="0" fontId="0" fillId="0" borderId="50" xfId="0" applyBorder="1"/>
    <xf numFmtId="0" fontId="0" fillId="0" borderId="50" xfId="0" applyBorder="1" applyAlignment="1">
      <alignment horizontal="center" vertical="center"/>
    </xf>
    <xf numFmtId="0" fontId="11" fillId="4" borderId="5" xfId="0" applyFont="1" applyFill="1" applyBorder="1" applyAlignment="1">
      <alignment horizont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14" fillId="0" borderId="0" xfId="0" applyFont="1"/>
    <xf numFmtId="0" fontId="15" fillId="0" borderId="0" xfId="0" applyFont="1"/>
    <xf numFmtId="0" fontId="15" fillId="0" borderId="0" xfId="0" applyFont="1" applyAlignment="1"/>
    <xf numFmtId="0" fontId="15" fillId="0" borderId="0" xfId="0" applyFont="1" applyAlignment="1">
      <alignment wrapText="1"/>
    </xf>
    <xf numFmtId="0" fontId="15" fillId="0" borderId="0" xfId="0" applyFont="1" applyBorder="1" applyAlignment="1"/>
    <xf numFmtId="0" fontId="15" fillId="0" borderId="5" xfId="0" applyFont="1" applyFill="1" applyBorder="1" applyAlignment="1">
      <alignment horizontal="center"/>
    </xf>
    <xf numFmtId="0" fontId="15" fillId="0" borderId="5" xfId="0" applyFont="1" applyBorder="1" applyAlignment="1">
      <alignment horizontal="center"/>
    </xf>
    <xf numFmtId="0" fontId="14" fillId="0" borderId="9" xfId="0" applyFont="1" applyBorder="1"/>
    <xf numFmtId="0" fontId="14" fillId="0" borderId="67" xfId="0" applyFont="1" applyBorder="1"/>
    <xf numFmtId="0" fontId="14" fillId="0" borderId="51" xfId="0" applyFont="1" applyBorder="1"/>
    <xf numFmtId="0" fontId="14" fillId="0" borderId="11" xfId="0" applyFont="1" applyBorder="1"/>
    <xf numFmtId="0" fontId="14" fillId="0" borderId="12" xfId="0" applyFont="1" applyBorder="1"/>
    <xf numFmtId="0" fontId="14" fillId="0" borderId="13" xfId="0" applyFont="1" applyBorder="1" applyAlignment="1">
      <alignment horizontal="center"/>
    </xf>
    <xf numFmtId="2" fontId="14" fillId="0" borderId="44" xfId="0" applyNumberFormat="1" applyFont="1" applyBorder="1" applyAlignment="1">
      <alignment horizontal="center"/>
    </xf>
    <xf numFmtId="2" fontId="14" fillId="0" borderId="14" xfId="0" applyNumberFormat="1" applyFont="1" applyBorder="1"/>
    <xf numFmtId="0" fontId="14" fillId="0" borderId="15" xfId="0" applyFont="1" applyBorder="1"/>
    <xf numFmtId="0" fontId="14" fillId="0" borderId="16" xfId="0" applyFont="1" applyBorder="1"/>
    <xf numFmtId="0" fontId="14" fillId="0" borderId="17" xfId="0" applyFont="1" applyBorder="1" applyAlignment="1">
      <alignment horizontal="center"/>
    </xf>
    <xf numFmtId="2" fontId="14" fillId="0" borderId="45" xfId="0" applyNumberFormat="1" applyFont="1" applyBorder="1" applyAlignment="1">
      <alignment horizontal="center"/>
    </xf>
    <xf numFmtId="2" fontId="14" fillId="0" borderId="18" xfId="0" applyNumberFormat="1" applyFont="1" applyBorder="1"/>
    <xf numFmtId="0" fontId="14" fillId="0" borderId="9" xfId="0" applyFont="1" applyBorder="1" applyAlignment="1">
      <alignment horizontal="center"/>
    </xf>
    <xf numFmtId="0" fontId="14" fillId="0" borderId="67" xfId="0" applyFont="1" applyBorder="1" applyAlignment="1">
      <alignment horizontal="center"/>
    </xf>
    <xf numFmtId="0" fontId="14" fillId="0" borderId="50" xfId="0" applyFont="1" applyBorder="1" applyAlignment="1">
      <alignment horizontal="center"/>
    </xf>
    <xf numFmtId="0" fontId="14" fillId="0" borderId="46" xfId="0" applyFont="1" applyBorder="1" applyAlignment="1">
      <alignment horizontal="center"/>
    </xf>
    <xf numFmtId="0" fontId="14" fillId="0" borderId="19" xfId="0" applyFont="1" applyBorder="1"/>
    <xf numFmtId="0" fontId="14" fillId="0" borderId="20" xfId="0" applyFont="1" applyBorder="1"/>
    <xf numFmtId="0" fontId="14" fillId="0" borderId="21" xfId="0" applyFont="1" applyBorder="1" applyAlignment="1">
      <alignment horizontal="center"/>
    </xf>
    <xf numFmtId="2" fontId="14" fillId="0" borderId="68" xfId="0" applyNumberFormat="1" applyFont="1" applyBorder="1" applyAlignment="1">
      <alignment horizontal="center"/>
    </xf>
    <xf numFmtId="2" fontId="14" fillId="0" borderId="22" xfId="0" applyNumberFormat="1" applyFont="1" applyBorder="1"/>
    <xf numFmtId="0" fontId="14" fillId="0" borderId="0" xfId="0" applyFont="1" applyAlignment="1">
      <alignment horizontal="center"/>
    </xf>
    <xf numFmtId="0" fontId="14" fillId="0" borderId="0" xfId="0" applyFont="1" applyBorder="1"/>
    <xf numFmtId="0" fontId="14" fillId="2" borderId="5" xfId="0" applyFont="1" applyFill="1" applyBorder="1"/>
    <xf numFmtId="0" fontId="14" fillId="0" borderId="5" xfId="0" applyFont="1" applyBorder="1" applyAlignment="1">
      <alignment horizontal="center"/>
    </xf>
    <xf numFmtId="0" fontId="15" fillId="0" borderId="7" xfId="0" applyFont="1" applyBorder="1" applyAlignment="1"/>
    <xf numFmtId="0" fontId="15" fillId="0" borderId="24" xfId="0" applyFont="1" applyBorder="1" applyAlignment="1"/>
    <xf numFmtId="0" fontId="15" fillId="0" borderId="8" xfId="0" applyFont="1" applyBorder="1" applyAlignment="1"/>
    <xf numFmtId="0" fontId="14" fillId="0" borderId="10" xfId="0" applyFont="1" applyBorder="1"/>
    <xf numFmtId="16" fontId="14" fillId="2" borderId="5" xfId="0" quotePrefix="1" applyNumberFormat="1" applyFont="1" applyFill="1" applyBorder="1" applyAlignment="1">
      <alignment horizontal="center"/>
    </xf>
    <xf numFmtId="2" fontId="17" fillId="0" borderId="5" xfId="0" applyNumberFormat="1" applyFont="1" applyBorder="1" applyAlignment="1">
      <alignment horizontal="center"/>
    </xf>
    <xf numFmtId="2" fontId="18" fillId="0" borderId="5" xfId="0" applyNumberFormat="1" applyFont="1" applyBorder="1" applyAlignment="1">
      <alignment horizontal="center"/>
    </xf>
    <xf numFmtId="0" fontId="14" fillId="0" borderId="25" xfId="0" applyFont="1" applyBorder="1"/>
    <xf numFmtId="0" fontId="14" fillId="0" borderId="12" xfId="0" applyFont="1" applyBorder="1" applyAlignment="1">
      <alignment horizontal="center"/>
    </xf>
    <xf numFmtId="16" fontId="14" fillId="0" borderId="13" xfId="0" quotePrefix="1" applyNumberFormat="1" applyFont="1" applyBorder="1" applyAlignment="1">
      <alignment horizontal="center"/>
    </xf>
    <xf numFmtId="0" fontId="14" fillId="0" borderId="13" xfId="0" quotePrefix="1" applyFont="1" applyBorder="1" applyAlignment="1">
      <alignment horizontal="center"/>
    </xf>
    <xf numFmtId="2" fontId="14" fillId="0" borderId="14" xfId="0" applyNumberFormat="1" applyFont="1" applyBorder="1" applyAlignment="1">
      <alignment horizontal="center"/>
    </xf>
    <xf numFmtId="0" fontId="14" fillId="0" borderId="33" xfId="0" applyFont="1" applyBorder="1"/>
    <xf numFmtId="0" fontId="14" fillId="0" borderId="34" xfId="0" applyFont="1" applyBorder="1"/>
    <xf numFmtId="0" fontId="14" fillId="0" borderId="35" xfId="0" applyFont="1" applyBorder="1" applyAlignment="1">
      <alignment horizontal="center"/>
    </xf>
    <xf numFmtId="16" fontId="14" fillId="0" borderId="36" xfId="0" quotePrefix="1" applyNumberFormat="1" applyFont="1" applyBorder="1" applyAlignment="1">
      <alignment horizontal="center"/>
    </xf>
    <xf numFmtId="2" fontId="14" fillId="0" borderId="37" xfId="0" applyNumberFormat="1" applyFont="1" applyBorder="1" applyAlignment="1">
      <alignment horizontal="center"/>
    </xf>
    <xf numFmtId="16" fontId="15" fillId="0" borderId="0" xfId="0" applyNumberFormat="1" applyFont="1" applyFill="1" applyBorder="1" applyAlignment="1">
      <alignment horizontal="left"/>
    </xf>
    <xf numFmtId="0" fontId="14" fillId="0" borderId="26" xfId="0" applyFont="1" applyBorder="1"/>
    <xf numFmtId="2" fontId="14" fillId="0" borderId="22" xfId="0" applyNumberFormat="1" applyFont="1" applyBorder="1" applyAlignment="1">
      <alignment horizontal="center"/>
    </xf>
    <xf numFmtId="0" fontId="14" fillId="2" borderId="0" xfId="0" applyFont="1" applyFill="1" applyAlignment="1">
      <alignment horizontal="center"/>
    </xf>
    <xf numFmtId="2" fontId="14" fillId="2" borderId="38" xfId="0" applyNumberFormat="1" applyFont="1" applyFill="1" applyBorder="1" applyAlignment="1">
      <alignment horizontal="center"/>
    </xf>
    <xf numFmtId="2" fontId="14" fillId="0" borderId="0" xfId="0" applyNumberFormat="1" applyFont="1" applyAlignment="1">
      <alignment horizontal="center"/>
    </xf>
    <xf numFmtId="2" fontId="14" fillId="0" borderId="41" xfId="0" applyNumberFormat="1" applyFont="1" applyBorder="1" applyAlignment="1">
      <alignment horizontal="center"/>
    </xf>
    <xf numFmtId="2" fontId="14" fillId="0" borderId="39" xfId="0" applyNumberFormat="1" applyFont="1" applyBorder="1" applyAlignment="1">
      <alignment horizontal="center"/>
    </xf>
    <xf numFmtId="2" fontId="14" fillId="2" borderId="0" xfId="0" applyNumberFormat="1" applyFont="1" applyFill="1" applyAlignment="1">
      <alignment horizontal="center"/>
    </xf>
    <xf numFmtId="2" fontId="14" fillId="0" borderId="42" xfId="0" applyNumberFormat="1" applyFont="1" applyBorder="1" applyAlignment="1">
      <alignment horizontal="center"/>
    </xf>
    <xf numFmtId="2" fontId="14" fillId="0" borderId="40" xfId="0" applyNumberFormat="1" applyFont="1" applyBorder="1" applyAlignment="1">
      <alignment horizontal="center"/>
    </xf>
    <xf numFmtId="2" fontId="14" fillId="2" borderId="32" xfId="0" applyNumberFormat="1" applyFont="1" applyFill="1" applyBorder="1" applyAlignment="1">
      <alignment horizontal="center"/>
    </xf>
    <xf numFmtId="0" fontId="14" fillId="0" borderId="13" xfId="0" quotePrefix="1" applyNumberFormat="1" applyFont="1" applyBorder="1" applyAlignment="1">
      <alignment horizontal="center"/>
    </xf>
    <xf numFmtId="2" fontId="14" fillId="0" borderId="13" xfId="0" quotePrefix="1" applyNumberFormat="1" applyFont="1" applyBorder="1" applyAlignment="1">
      <alignment horizontal="center"/>
    </xf>
    <xf numFmtId="2" fontId="14" fillId="0" borderId="36" xfId="0" quotePrefix="1" applyNumberFormat="1" applyFont="1" applyBorder="1" applyAlignment="1">
      <alignment horizontal="center"/>
    </xf>
    <xf numFmtId="164" fontId="14" fillId="0" borderId="38" xfId="0" applyNumberFormat="1" applyFont="1" applyBorder="1" applyAlignment="1">
      <alignment horizontal="center"/>
    </xf>
    <xf numFmtId="164" fontId="14" fillId="0" borderId="0" xfId="0" applyNumberFormat="1" applyFont="1" applyAlignment="1">
      <alignment horizontal="center"/>
    </xf>
    <xf numFmtId="164" fontId="14" fillId="0" borderId="41" xfId="0" applyNumberFormat="1" applyFont="1" applyBorder="1" applyAlignment="1">
      <alignment horizontal="center"/>
    </xf>
    <xf numFmtId="164" fontId="14" fillId="0" borderId="39" xfId="0" applyNumberFormat="1" applyFont="1" applyBorder="1" applyAlignment="1">
      <alignment horizontal="center"/>
    </xf>
    <xf numFmtId="164" fontId="14" fillId="0" borderId="42" xfId="0" applyNumberFormat="1" applyFont="1" applyBorder="1" applyAlignment="1">
      <alignment horizontal="center"/>
    </xf>
    <xf numFmtId="164" fontId="14" fillId="0" borderId="40" xfId="0" applyNumberFormat="1" applyFont="1" applyBorder="1" applyAlignment="1">
      <alignment horizontal="center"/>
    </xf>
    <xf numFmtId="164" fontId="14" fillId="0" borderId="32" xfId="0" applyNumberFormat="1" applyFont="1" applyBorder="1" applyAlignment="1">
      <alignment horizontal="center"/>
    </xf>
    <xf numFmtId="0" fontId="19" fillId="0" borderId="0" xfId="0" applyFont="1"/>
    <xf numFmtId="0" fontId="15" fillId="0" borderId="0" xfId="0" applyFont="1" applyAlignment="1">
      <alignment horizontal="center" vertical="center"/>
    </xf>
    <xf numFmtId="164" fontId="14" fillId="0" borderId="0" xfId="0" applyNumberFormat="1" applyFont="1"/>
    <xf numFmtId="164" fontId="14" fillId="0" borderId="0" xfId="0" applyNumberFormat="1" applyFont="1" applyBorder="1"/>
    <xf numFmtId="164" fontId="14" fillId="0" borderId="31" xfId="0" applyNumberFormat="1" applyFont="1" applyBorder="1"/>
    <xf numFmtId="164" fontId="15" fillId="0" borderId="0" xfId="0" applyNumberFormat="1" applyFont="1"/>
    <xf numFmtId="16" fontId="15" fillId="0" borderId="0" xfId="0" applyNumberFormat="1" applyFont="1"/>
    <xf numFmtId="2" fontId="14" fillId="0" borderId="38" xfId="0" applyNumberFormat="1" applyFont="1" applyFill="1" applyBorder="1" applyAlignment="1">
      <alignment horizontal="center"/>
    </xf>
    <xf numFmtId="2" fontId="14" fillId="0" borderId="32" xfId="0" applyNumberFormat="1" applyFont="1" applyFill="1" applyBorder="1" applyAlignment="1">
      <alignment horizontal="center"/>
    </xf>
    <xf numFmtId="2" fontId="14" fillId="0" borderId="0" xfId="0" applyNumberFormat="1" applyFont="1" applyFill="1" applyAlignment="1">
      <alignment horizontal="center"/>
    </xf>
    <xf numFmtId="2" fontId="14" fillId="0" borderId="41" xfId="0" applyNumberFormat="1" applyFont="1" applyFill="1" applyBorder="1" applyAlignment="1">
      <alignment horizontal="center"/>
    </xf>
    <xf numFmtId="2" fontId="14" fillId="0" borderId="39" xfId="0" applyNumberFormat="1" applyFont="1" applyFill="1" applyBorder="1" applyAlignment="1">
      <alignment horizontal="center"/>
    </xf>
    <xf numFmtId="2" fontId="14" fillId="0" borderId="42" xfId="0" applyNumberFormat="1" applyFont="1" applyFill="1" applyBorder="1" applyAlignment="1">
      <alignment horizontal="center"/>
    </xf>
    <xf numFmtId="2" fontId="14" fillId="0" borderId="40" xfId="0" applyNumberFormat="1" applyFont="1" applyFill="1" applyBorder="1" applyAlignment="1">
      <alignment horizontal="center"/>
    </xf>
    <xf numFmtId="0" fontId="15" fillId="0" borderId="0" xfId="0" applyFont="1" applyBorder="1" applyAlignment="1">
      <alignment horizontal="center"/>
    </xf>
    <xf numFmtId="0" fontId="20" fillId="0" borderId="0" xfId="0" applyFont="1"/>
    <xf numFmtId="2" fontId="14" fillId="0" borderId="0" xfId="0" applyNumberFormat="1" applyFont="1"/>
    <xf numFmtId="0" fontId="14" fillId="0" borderId="0" xfId="0" applyFont="1" applyFill="1"/>
    <xf numFmtId="0" fontId="14" fillId="0" borderId="13" xfId="0" applyFont="1" applyBorder="1"/>
    <xf numFmtId="0" fontId="14" fillId="0" borderId="13" xfId="0" applyFont="1" applyFill="1" applyBorder="1"/>
    <xf numFmtId="0" fontId="21" fillId="0" borderId="13" xfId="0" applyFont="1" applyFill="1" applyBorder="1"/>
    <xf numFmtId="0" fontId="21" fillId="0" borderId="17" xfId="0" applyFont="1" applyFill="1" applyBorder="1"/>
    <xf numFmtId="14" fontId="14" fillId="0" borderId="0" xfId="0" applyNumberFormat="1" applyFont="1"/>
    <xf numFmtId="0" fontId="14" fillId="0" borderId="9" xfId="0" applyFont="1" applyFill="1" applyBorder="1"/>
    <xf numFmtId="0" fontId="14" fillId="0" borderId="17" xfId="0" applyFont="1" applyFill="1" applyBorder="1"/>
    <xf numFmtId="0" fontId="14" fillId="0" borderId="0" xfId="0" applyFont="1" applyAlignment="1">
      <alignment horizontal="center" vertical="center"/>
    </xf>
    <xf numFmtId="0" fontId="14" fillId="0" borderId="0" xfId="0" applyFont="1" applyAlignment="1">
      <alignment vertical="center"/>
    </xf>
    <xf numFmtId="0" fontId="15" fillId="3" borderId="1" xfId="0" applyFont="1" applyFill="1" applyBorder="1" applyAlignment="1">
      <alignment horizontal="center" vertical="center"/>
    </xf>
    <xf numFmtId="0" fontId="23" fillId="0" borderId="60" xfId="0" applyFont="1" applyBorder="1" applyAlignment="1">
      <alignment horizontal="center" vertical="center" wrapText="1"/>
    </xf>
    <xf numFmtId="0" fontId="23" fillId="0" borderId="2" xfId="0" applyFont="1" applyBorder="1" applyAlignment="1">
      <alignment horizontal="center" vertical="center" wrapText="1"/>
    </xf>
    <xf numFmtId="0" fontId="14" fillId="0" borderId="5" xfId="0" applyFont="1" applyBorder="1" applyAlignment="1">
      <alignment horizontal="center" vertical="center"/>
    </xf>
    <xf numFmtId="0" fontId="23" fillId="0" borderId="61" xfId="0" applyFont="1" applyBorder="1" applyAlignment="1">
      <alignment horizontal="center" vertical="center"/>
    </xf>
    <xf numFmtId="164" fontId="15" fillId="3" borderId="47" xfId="0" quotePrefix="1" applyNumberFormat="1" applyFont="1" applyFill="1" applyBorder="1" applyAlignment="1">
      <alignment horizontal="center" vertical="center"/>
    </xf>
    <xf numFmtId="164" fontId="21" fillId="0" borderId="50" xfId="0" applyNumberFormat="1" applyFont="1" applyBorder="1" applyAlignment="1">
      <alignment horizontal="center" vertical="center"/>
    </xf>
    <xf numFmtId="0" fontId="26" fillId="0" borderId="0" xfId="0" applyFont="1" applyAlignment="1">
      <alignment horizontal="center" vertical="center"/>
    </xf>
    <xf numFmtId="0" fontId="23" fillId="0" borderId="57" xfId="0" applyFont="1" applyBorder="1" applyAlignment="1">
      <alignment horizontal="center" vertical="center"/>
    </xf>
    <xf numFmtId="164" fontId="21" fillId="0" borderId="12" xfId="0" applyNumberFormat="1" applyFont="1" applyBorder="1" applyAlignment="1">
      <alignment horizontal="center" vertical="center"/>
    </xf>
    <xf numFmtId="164" fontId="27" fillId="3" borderId="13" xfId="0" quotePrefix="1" applyNumberFormat="1" applyFont="1" applyFill="1" applyBorder="1" applyAlignment="1">
      <alignment horizontal="center" vertical="center"/>
    </xf>
    <xf numFmtId="164" fontId="21" fillId="0" borderId="13" xfId="0" applyNumberFormat="1" applyFont="1" applyBorder="1" applyAlignment="1">
      <alignment horizontal="center" vertical="center"/>
    </xf>
    <xf numFmtId="16" fontId="15" fillId="0" borderId="0" xfId="0" applyNumberFormat="1" applyFont="1" applyAlignment="1"/>
    <xf numFmtId="164" fontId="21" fillId="0" borderId="13" xfId="0" quotePrefix="1" applyNumberFormat="1" applyFont="1" applyFill="1" applyBorder="1" applyAlignment="1">
      <alignment horizontal="center" vertical="center"/>
    </xf>
    <xf numFmtId="164" fontId="21" fillId="0" borderId="13" xfId="0" applyNumberFormat="1" applyFont="1" applyFill="1" applyBorder="1" applyAlignment="1">
      <alignment horizontal="center" vertical="center"/>
    </xf>
    <xf numFmtId="0" fontId="23" fillId="0" borderId="58" xfId="0" applyFont="1" applyBorder="1" applyAlignment="1">
      <alignment horizontal="center" vertical="center"/>
    </xf>
    <xf numFmtId="164" fontId="21" fillId="0" borderId="20" xfId="0" applyNumberFormat="1" applyFont="1" applyBorder="1" applyAlignment="1">
      <alignment horizontal="center" vertical="center"/>
    </xf>
    <xf numFmtId="164" fontId="21" fillId="0" borderId="21" xfId="0" applyNumberFormat="1" applyFont="1" applyBorder="1" applyAlignment="1">
      <alignment horizontal="center" vertical="center"/>
    </xf>
    <xf numFmtId="0" fontId="14" fillId="0" borderId="0" xfId="0" applyFont="1" applyFill="1" applyBorder="1" applyAlignment="1">
      <alignment horizontal="center" vertical="center"/>
    </xf>
    <xf numFmtId="164" fontId="14" fillId="0" borderId="0" xfId="0" applyNumberFormat="1" applyFont="1" applyAlignment="1">
      <alignment horizontal="right"/>
    </xf>
    <xf numFmtId="16" fontId="15" fillId="0" borderId="0" xfId="0" quotePrefix="1" applyNumberFormat="1" applyFont="1" applyAlignment="1">
      <alignment horizontal="right" vertical="center"/>
    </xf>
    <xf numFmtId="0" fontId="14" fillId="0" borderId="0" xfId="0" quotePrefix="1" applyFont="1" applyAlignment="1">
      <alignment vertical="center"/>
    </xf>
    <xf numFmtId="0" fontId="14" fillId="0" borderId="0" xfId="0" applyFont="1" applyAlignment="1">
      <alignment horizontal="left" vertical="center"/>
    </xf>
    <xf numFmtId="0" fontId="14" fillId="0" borderId="0" xfId="0" quotePrefix="1" applyFont="1" applyAlignment="1">
      <alignment horizontal="left" vertical="center"/>
    </xf>
    <xf numFmtId="0" fontId="14" fillId="2" borderId="5" xfId="0" applyFont="1" applyFill="1" applyBorder="1" applyAlignment="1">
      <alignment horizontal="center" vertical="center"/>
    </xf>
    <xf numFmtId="0" fontId="14" fillId="0" borderId="0" xfId="0" applyFont="1" applyAlignment="1">
      <alignment horizontal="center" vertical="center" wrapText="1"/>
    </xf>
    <xf numFmtId="0" fontId="24" fillId="0" borderId="0" xfId="0" applyFont="1" applyAlignment="1">
      <alignment horizontal="center" vertical="center" wrapText="1"/>
    </xf>
    <xf numFmtId="164" fontId="14" fillId="2" borderId="5" xfId="0" quotePrefix="1" applyNumberFormat="1" applyFont="1" applyFill="1" applyBorder="1" applyAlignment="1">
      <alignment horizontal="center"/>
    </xf>
    <xf numFmtId="164" fontId="17" fillId="0" borderId="5" xfId="0" applyNumberFormat="1" applyFont="1" applyBorder="1" applyAlignment="1">
      <alignment horizontal="center"/>
    </xf>
    <xf numFmtId="164" fontId="18" fillId="0" borderId="5" xfId="0" applyNumberFormat="1" applyFont="1" applyBorder="1" applyAlignment="1">
      <alignment horizontal="center"/>
    </xf>
    <xf numFmtId="164" fontId="14" fillId="0" borderId="5" xfId="0" quotePrefix="1" applyNumberFormat="1" applyFont="1" applyFill="1" applyBorder="1" applyAlignment="1">
      <alignment horizontal="center"/>
    </xf>
    <xf numFmtId="0" fontId="0" fillId="0" borderId="69" xfId="0" applyBorder="1"/>
    <xf numFmtId="0" fontId="0" fillId="0" borderId="69" xfId="0" applyBorder="1" applyAlignment="1">
      <alignment horizontal="center" vertical="center"/>
    </xf>
    <xf numFmtId="0" fontId="15" fillId="0" borderId="0" xfId="0" applyFont="1" applyBorder="1" applyAlignment="1">
      <alignment horizontal="center"/>
    </xf>
    <xf numFmtId="0" fontId="0" fillId="0" borderId="9" xfId="0" applyBorder="1" applyAlignment="1">
      <alignment horizontal="center"/>
    </xf>
    <xf numFmtId="0" fontId="0" fillId="0" borderId="13" xfId="0" applyBorder="1" applyAlignment="1">
      <alignment horizontal="center"/>
    </xf>
    <xf numFmtId="0" fontId="0" fillId="0" borderId="17" xfId="0" applyBorder="1" applyAlignment="1">
      <alignment horizontal="center"/>
    </xf>
    <xf numFmtId="0" fontId="2" fillId="0" borderId="5" xfId="0" applyFont="1" applyBorder="1" applyAlignment="1">
      <alignment horizontal="center" vertical="center" wrapText="1"/>
    </xf>
    <xf numFmtId="0" fontId="2" fillId="0" borderId="5" xfId="0" applyFont="1" applyBorder="1"/>
    <xf numFmtId="165" fontId="0" fillId="0" borderId="13" xfId="0" applyNumberFormat="1" applyBorder="1" applyAlignment="1">
      <alignment horizontal="center"/>
    </xf>
    <xf numFmtId="0" fontId="2" fillId="0" borderId="5" xfId="0" quotePrefix="1" applyFont="1" applyFill="1" applyBorder="1" applyAlignment="1">
      <alignment horizontal="center" vertical="center" wrapText="1"/>
    </xf>
    <xf numFmtId="0" fontId="2" fillId="0" borderId="5" xfId="0" applyFont="1" applyFill="1" applyBorder="1" applyAlignment="1">
      <alignment horizontal="center" vertical="center" wrapText="1"/>
    </xf>
    <xf numFmtId="0" fontId="31" fillId="0" borderId="0" xfId="2"/>
    <xf numFmtId="0" fontId="0" fillId="0" borderId="0" xfId="0" quotePrefix="1"/>
    <xf numFmtId="0" fontId="0" fillId="0" borderId="0" xfId="0" quotePrefix="1" applyAlignment="1">
      <alignment horizontal="left"/>
    </xf>
    <xf numFmtId="0" fontId="14" fillId="0" borderId="39" xfId="0" applyFont="1" applyFill="1" applyBorder="1" applyAlignment="1"/>
    <xf numFmtId="0" fontId="14" fillId="0" borderId="0" xfId="0" applyFont="1" applyFill="1" applyBorder="1" applyAlignment="1"/>
    <xf numFmtId="164" fontId="27" fillId="3" borderId="21" xfId="0" quotePrefix="1" applyNumberFormat="1" applyFont="1" applyFill="1" applyBorder="1" applyAlignment="1">
      <alignment horizontal="center" vertical="center"/>
    </xf>
    <xf numFmtId="0" fontId="14" fillId="0" borderId="46" xfId="0" applyFont="1" applyFill="1" applyBorder="1" applyAlignment="1">
      <alignment horizontal="center"/>
    </xf>
    <xf numFmtId="0" fontId="14" fillId="0" borderId="47" xfId="0" applyFont="1" applyFill="1" applyBorder="1" applyAlignment="1">
      <alignment horizontal="center"/>
    </xf>
    <xf numFmtId="0" fontId="14" fillId="0" borderId="44" xfId="0" applyFont="1" applyFill="1" applyBorder="1" applyAlignment="1">
      <alignment horizontal="center"/>
    </xf>
    <xf numFmtId="0" fontId="14" fillId="0" borderId="12" xfId="0" applyFont="1" applyFill="1" applyBorder="1" applyAlignment="1">
      <alignment horizontal="center"/>
    </xf>
    <xf numFmtId="0" fontId="14" fillId="0" borderId="45" xfId="0" applyFont="1" applyFill="1" applyBorder="1" applyAlignment="1">
      <alignment horizontal="center"/>
    </xf>
    <xf numFmtId="0" fontId="14" fillId="0" borderId="16" xfId="0" applyFont="1" applyFill="1" applyBorder="1" applyAlignment="1">
      <alignment horizontal="center"/>
    </xf>
    <xf numFmtId="0" fontId="0" fillId="0" borderId="5" xfId="0" applyBorder="1" applyAlignment="1">
      <alignment horizontal="center" vertical="center" wrapText="1"/>
    </xf>
    <xf numFmtId="0" fontId="0" fillId="0" borderId="65" xfId="0" applyBorder="1" applyAlignment="1">
      <alignment horizontal="center" vertical="center"/>
    </xf>
    <xf numFmtId="0" fontId="0" fillId="0" borderId="5" xfId="0" applyBorder="1" applyAlignment="1">
      <alignment horizontal="center" vertical="center"/>
    </xf>
    <xf numFmtId="164" fontId="0" fillId="0" borderId="5" xfId="0" applyNumberFormat="1" applyBorder="1" applyAlignment="1">
      <alignment horizontal="center" vertical="center"/>
    </xf>
    <xf numFmtId="0" fontId="0" fillId="0" borderId="0" xfId="0" applyAlignment="1">
      <alignment horizontal="center" vertical="center"/>
    </xf>
    <xf numFmtId="0" fontId="30" fillId="0" borderId="0" xfId="0" applyFont="1" applyAlignment="1">
      <alignment horizontal="center" vertical="center"/>
    </xf>
    <xf numFmtId="0" fontId="11" fillId="4" borderId="5" xfId="0" applyFont="1" applyFill="1" applyBorder="1" applyAlignment="1">
      <alignment horizontal="center"/>
    </xf>
    <xf numFmtId="0" fontId="0" fillId="0" borderId="13" xfId="0" applyBorder="1" applyAlignment="1">
      <alignment horizontal="center" vertical="center"/>
    </xf>
    <xf numFmtId="0" fontId="14" fillId="0" borderId="0" xfId="0" applyFont="1" applyFill="1" applyAlignment="1">
      <alignment horizontal="center"/>
    </xf>
    <xf numFmtId="0" fontId="14" fillId="0" borderId="0" xfId="0" applyFont="1" applyFill="1" applyBorder="1"/>
    <xf numFmtId="0" fontId="0" fillId="0" borderId="13" xfId="0" applyBorder="1" applyAlignment="1">
      <alignment horizontal="center" vertical="center"/>
    </xf>
    <xf numFmtId="0" fontId="0" fillId="0" borderId="5" xfId="0" applyBorder="1" applyAlignment="1">
      <alignment vertical="center" wrapText="1"/>
    </xf>
    <xf numFmtId="164" fontId="0" fillId="0" borderId="17" xfId="0" applyNumberFormat="1" applyBorder="1" applyAlignment="1">
      <alignment horizontal="center" vertical="center"/>
    </xf>
    <xf numFmtId="164" fontId="0" fillId="0" borderId="50" xfId="0" applyNumberFormat="1" applyBorder="1" applyAlignment="1">
      <alignment horizontal="center"/>
    </xf>
    <xf numFmtId="164" fontId="0" fillId="0" borderId="13" xfId="0" applyNumberFormat="1" applyBorder="1" applyAlignment="1">
      <alignment horizontal="center"/>
    </xf>
    <xf numFmtId="164" fontId="0" fillId="0" borderId="17" xfId="0" applyNumberFormat="1" applyBorder="1" applyAlignment="1">
      <alignment horizontal="center"/>
    </xf>
    <xf numFmtId="164" fontId="0" fillId="0" borderId="9" xfId="0" applyNumberFormat="1" applyBorder="1" applyAlignment="1">
      <alignment horizontal="center"/>
    </xf>
    <xf numFmtId="164" fontId="0" fillId="0" borderId="5" xfId="0" applyNumberFormat="1" applyBorder="1" applyAlignment="1">
      <alignment horizontal="center" vertical="center" wrapText="1"/>
    </xf>
    <xf numFmtId="0" fontId="15" fillId="0" borderId="0" xfId="0" applyFont="1" applyBorder="1" applyAlignment="1">
      <alignment horizontal="center"/>
    </xf>
    <xf numFmtId="0" fontId="0" fillId="0" borderId="0" xfId="0" applyAlignment="1">
      <alignment vertical="center"/>
    </xf>
    <xf numFmtId="0" fontId="0" fillId="0" borderId="13" xfId="0" quotePrefix="1" applyBorder="1" applyAlignment="1">
      <alignment horizontal="center" vertical="center"/>
    </xf>
    <xf numFmtId="0" fontId="0" fillId="0" borderId="13" xfId="0" applyBorder="1" applyAlignment="1">
      <alignment vertical="center"/>
    </xf>
    <xf numFmtId="0" fontId="0" fillId="0" borderId="17" xfId="0" quotePrefix="1" applyBorder="1" applyAlignment="1">
      <alignment horizontal="center" vertical="center"/>
    </xf>
    <xf numFmtId="0" fontId="0" fillId="0" borderId="17" xfId="0" applyBorder="1" applyAlignment="1">
      <alignment vertical="center"/>
    </xf>
    <xf numFmtId="0" fontId="2" fillId="0" borderId="50" xfId="0" applyFont="1" applyBorder="1" applyAlignment="1">
      <alignment horizontal="center" vertical="center"/>
    </xf>
    <xf numFmtId="0" fontId="0" fillId="0" borderId="50" xfId="0" applyBorder="1" applyAlignment="1">
      <alignment horizontal="center" vertical="center" wrapText="1"/>
    </xf>
    <xf numFmtId="0" fontId="0" fillId="4" borderId="5" xfId="0" applyFill="1" applyBorder="1" applyAlignment="1">
      <alignment horizontal="center" vertical="center"/>
    </xf>
    <xf numFmtId="0" fontId="0" fillId="4" borderId="5" xfId="0" applyFill="1" applyBorder="1" applyAlignment="1">
      <alignment horizontal="center" vertical="center" wrapText="1"/>
    </xf>
    <xf numFmtId="0" fontId="0" fillId="0" borderId="0" xfId="0" applyAlignment="1"/>
    <xf numFmtId="0" fontId="2" fillId="0" borderId="5" xfId="0" applyFont="1" applyBorder="1" applyAlignment="1">
      <alignment horizontal="center" vertical="center" wrapText="1"/>
    </xf>
    <xf numFmtId="0" fontId="2" fillId="0" borderId="5" xfId="0" applyFont="1" applyBorder="1" applyAlignment="1">
      <alignment horizontal="center"/>
    </xf>
    <xf numFmtId="0" fontId="0" fillId="0" borderId="0" xfId="0" applyAlignment="1">
      <alignment horizontal="left"/>
    </xf>
    <xf numFmtId="0" fontId="0" fillId="0" borderId="0" xfId="0" applyAlignment="1">
      <alignment horizontal="right"/>
    </xf>
    <xf numFmtId="0" fontId="0" fillId="0" borderId="0" xfId="0" quotePrefix="1" applyAlignment="1">
      <alignment horizontal="right"/>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xf>
    <xf numFmtId="164" fontId="24" fillId="0" borderId="61" xfId="0" applyNumberFormat="1" applyFont="1" applyBorder="1" applyAlignment="1">
      <alignment horizontal="center" vertical="center"/>
    </xf>
    <xf numFmtId="164" fontId="24" fillId="0" borderId="50" xfId="0" applyNumberFormat="1" applyFont="1" applyBorder="1" applyAlignment="1">
      <alignment vertical="center"/>
    </xf>
    <xf numFmtId="164" fontId="24" fillId="0" borderId="51" xfId="0" applyNumberFormat="1" applyFont="1" applyBorder="1" applyAlignment="1">
      <alignment vertical="center"/>
    </xf>
    <xf numFmtId="164" fontId="24" fillId="0" borderId="57" xfId="0" applyNumberFormat="1" applyFont="1" applyBorder="1" applyAlignment="1">
      <alignment horizontal="center" vertical="center"/>
    </xf>
    <xf numFmtId="164" fontId="24" fillId="0" borderId="13" xfId="0" applyNumberFormat="1" applyFont="1" applyBorder="1" applyAlignment="1">
      <alignment vertical="center"/>
    </xf>
    <xf numFmtId="164" fontId="24" fillId="0" borderId="14" xfId="0" applyNumberFormat="1" applyFont="1" applyBorder="1" applyAlignment="1">
      <alignment vertical="center"/>
    </xf>
    <xf numFmtId="164" fontId="24" fillId="0" borderId="58" xfId="0" applyNumberFormat="1" applyFont="1" applyBorder="1" applyAlignment="1">
      <alignment horizontal="center" vertical="center"/>
    </xf>
    <xf numFmtId="164" fontId="24" fillId="0" borderId="21" xfId="0" applyNumberFormat="1" applyFont="1" applyBorder="1" applyAlignment="1">
      <alignment vertical="center"/>
    </xf>
    <xf numFmtId="164" fontId="24" fillId="0" borderId="22" xfId="0" applyNumberFormat="1" applyFont="1" applyBorder="1" applyAlignment="1">
      <alignment vertical="center"/>
    </xf>
    <xf numFmtId="0" fontId="24" fillId="0" borderId="0" xfId="0" applyFont="1"/>
    <xf numFmtId="164" fontId="34" fillId="0" borderId="59" xfId="0" applyNumberFormat="1" applyFont="1" applyBorder="1"/>
    <xf numFmtId="164" fontId="34" fillId="0" borderId="52" xfId="0" applyNumberFormat="1" applyFont="1" applyBorder="1"/>
    <xf numFmtId="164" fontId="34" fillId="0" borderId="53" xfId="0" applyNumberFormat="1" applyFont="1" applyBorder="1"/>
    <xf numFmtId="2" fontId="37" fillId="0" borderId="46" xfId="0" applyNumberFormat="1" applyFont="1" applyBorder="1" applyAlignment="1">
      <alignment horizontal="center"/>
    </xf>
    <xf numFmtId="2" fontId="37" fillId="0" borderId="47" xfId="0" applyNumberFormat="1" applyFont="1" applyBorder="1" applyAlignment="1">
      <alignment horizontal="center"/>
    </xf>
    <xf numFmtId="2" fontId="37" fillId="0" borderId="44" xfId="0" applyNumberFormat="1" applyFont="1" applyBorder="1" applyAlignment="1">
      <alignment horizontal="center"/>
    </xf>
    <xf numFmtId="2" fontId="37" fillId="0" borderId="12" xfId="0" applyNumberFormat="1" applyFont="1" applyBorder="1" applyAlignment="1">
      <alignment horizontal="center"/>
    </xf>
    <xf numFmtId="2" fontId="37" fillId="0" borderId="46" xfId="0" applyNumberFormat="1" applyFont="1" applyFill="1" applyBorder="1" applyAlignment="1">
      <alignment horizontal="center"/>
    </xf>
    <xf numFmtId="2" fontId="37" fillId="0" borderId="47" xfId="0" applyNumberFormat="1" applyFont="1" applyFill="1" applyBorder="1" applyAlignment="1">
      <alignment horizontal="center"/>
    </xf>
    <xf numFmtId="2" fontId="37" fillId="0" borderId="44" xfId="0" applyNumberFormat="1" applyFont="1" applyFill="1" applyBorder="1" applyAlignment="1">
      <alignment horizontal="center"/>
    </xf>
    <xf numFmtId="2" fontId="37" fillId="0" borderId="12" xfId="0" applyNumberFormat="1" applyFont="1" applyFill="1" applyBorder="1" applyAlignment="1">
      <alignment horizontal="center"/>
    </xf>
    <xf numFmtId="0" fontId="16" fillId="0" borderId="28" xfId="0" applyFont="1" applyBorder="1" applyAlignment="1">
      <alignment horizontal="center" vertical="center"/>
    </xf>
    <xf numFmtId="0" fontId="16" fillId="0" borderId="0" xfId="0" applyFont="1" applyAlignment="1">
      <alignment horizontal="center" vertical="center"/>
    </xf>
    <xf numFmtId="0" fontId="29" fillId="0" borderId="28" xfId="0" applyFont="1" applyBorder="1" applyAlignment="1">
      <alignment horizontal="center" vertical="center"/>
    </xf>
    <xf numFmtId="0" fontId="29" fillId="0" borderId="0" xfId="0" applyFont="1" applyAlignment="1">
      <alignment horizontal="center" vertical="center"/>
    </xf>
    <xf numFmtId="0" fontId="15" fillId="0" borderId="0" xfId="0" applyFont="1" applyAlignment="1">
      <alignment horizontal="center" vertical="center"/>
    </xf>
    <xf numFmtId="0" fontId="15" fillId="0" borderId="0" xfId="0" applyFont="1" applyAlignment="1">
      <alignment horizontal="center" vertical="center" wrapText="1"/>
    </xf>
    <xf numFmtId="0" fontId="15" fillId="0" borderId="0" xfId="0" applyFont="1" applyBorder="1" applyAlignment="1">
      <alignment horizontal="center" vertical="center"/>
    </xf>
    <xf numFmtId="0" fontId="15" fillId="0" borderId="43" xfId="0" applyFont="1" applyBorder="1" applyAlignment="1">
      <alignment horizontal="center" vertical="center"/>
    </xf>
    <xf numFmtId="0" fontId="15" fillId="0" borderId="62" xfId="0" applyFont="1" applyBorder="1" applyAlignment="1">
      <alignment horizontal="left"/>
    </xf>
    <xf numFmtId="0" fontId="15" fillId="0" borderId="47" xfId="0" applyFont="1" applyBorder="1" applyAlignment="1">
      <alignment horizontal="left"/>
    </xf>
    <xf numFmtId="0" fontId="15" fillId="0" borderId="7" xfId="0" applyFont="1" applyBorder="1" applyAlignment="1">
      <alignment horizontal="left"/>
    </xf>
    <xf numFmtId="0" fontId="15" fillId="0" borderId="8" xfId="0" applyFont="1" applyBorder="1" applyAlignment="1">
      <alignment horizontal="left"/>
    </xf>
    <xf numFmtId="0" fontId="15" fillId="0" borderId="23" xfId="0" applyFont="1" applyBorder="1" applyAlignment="1">
      <alignment horizontal="left"/>
    </xf>
    <xf numFmtId="0" fontId="15" fillId="0" borderId="9" xfId="0" applyFont="1" applyBorder="1" applyAlignment="1">
      <alignment horizontal="left"/>
    </xf>
    <xf numFmtId="0" fontId="14" fillId="0" borderId="56" xfId="0" applyFont="1" applyBorder="1" applyAlignment="1">
      <alignment horizontal="center" vertical="center"/>
    </xf>
    <xf numFmtId="0" fontId="14" fillId="0" borderId="18" xfId="0" applyFont="1" applyBorder="1" applyAlignment="1">
      <alignment horizontal="center" vertical="center"/>
    </xf>
    <xf numFmtId="0" fontId="15" fillId="0" borderId="66" xfId="0" applyFont="1" applyBorder="1" applyAlignment="1">
      <alignment horizontal="center" vertical="center"/>
    </xf>
    <xf numFmtId="0" fontId="15" fillId="0" borderId="48"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2" xfId="0" applyFont="1" applyBorder="1" applyAlignment="1">
      <alignment horizontal="center"/>
    </xf>
    <xf numFmtId="164" fontId="14" fillId="0" borderId="45" xfId="0" applyNumberFormat="1" applyFont="1" applyBorder="1" applyAlignment="1">
      <alignment horizontal="center"/>
    </xf>
    <xf numFmtId="164" fontId="14" fillId="0" borderId="16" xfId="0" applyNumberFormat="1" applyFont="1" applyBorder="1" applyAlignment="1">
      <alignment horizontal="center"/>
    </xf>
    <xf numFmtId="164" fontId="14" fillId="0" borderId="44" xfId="0" applyNumberFormat="1" applyFont="1" applyBorder="1" applyAlignment="1">
      <alignment horizontal="center"/>
    </xf>
    <xf numFmtId="164" fontId="14" fillId="0" borderId="12" xfId="0" applyNumberFormat="1" applyFont="1" applyBorder="1" applyAlignment="1">
      <alignment horizontal="center"/>
    </xf>
    <xf numFmtId="0" fontId="14" fillId="0" borderId="43" xfId="0" applyFont="1" applyBorder="1" applyAlignment="1">
      <alignment horizontal="center" vertical="center"/>
    </xf>
    <xf numFmtId="164" fontId="14" fillId="0" borderId="44" xfId="0" applyNumberFormat="1" applyFont="1" applyFill="1" applyBorder="1" applyAlignment="1">
      <alignment horizontal="center"/>
    </xf>
    <xf numFmtId="164" fontId="14" fillId="0" borderId="12" xfId="0" applyNumberFormat="1" applyFont="1" applyFill="1" applyBorder="1" applyAlignment="1">
      <alignment horizontal="center"/>
    </xf>
    <xf numFmtId="164" fontId="14" fillId="0" borderId="45" xfId="0" applyNumberFormat="1" applyFont="1" applyFill="1" applyBorder="1" applyAlignment="1">
      <alignment horizontal="center"/>
    </xf>
    <xf numFmtId="164" fontId="14" fillId="0" borderId="16" xfId="0" applyNumberFormat="1" applyFont="1" applyFill="1" applyBorder="1" applyAlignment="1">
      <alignment horizontal="center"/>
    </xf>
    <xf numFmtId="0" fontId="14" fillId="3" borderId="48" xfId="0" applyFont="1" applyFill="1" applyBorder="1" applyAlignment="1">
      <alignment horizontal="center"/>
    </xf>
    <xf numFmtId="0" fontId="14" fillId="3" borderId="49" xfId="0" applyFont="1" applyFill="1" applyBorder="1" applyAlignment="1">
      <alignment horizontal="center"/>
    </xf>
    <xf numFmtId="0" fontId="15" fillId="0" borderId="0" xfId="0" applyFont="1" applyAlignment="1">
      <alignment horizontal="center"/>
    </xf>
    <xf numFmtId="0" fontId="15" fillId="0" borderId="0" xfId="0" applyFont="1" applyAlignment="1">
      <alignment horizontal="center" wrapText="1"/>
    </xf>
    <xf numFmtId="0" fontId="15" fillId="0" borderId="0" xfId="0" applyFont="1" applyBorder="1" applyAlignment="1">
      <alignment horizontal="center"/>
    </xf>
    <xf numFmtId="0" fontId="15" fillId="0" borderId="43" xfId="0" applyFont="1" applyBorder="1" applyAlignment="1">
      <alignment horizontal="center"/>
    </xf>
    <xf numFmtId="0" fontId="29" fillId="0" borderId="0" xfId="0" applyFont="1" applyBorder="1" applyAlignment="1">
      <alignment horizontal="center"/>
    </xf>
    <xf numFmtId="0" fontId="16" fillId="0" borderId="0" xfId="0" applyFont="1" applyAlignment="1">
      <alignment horizont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15" fillId="0" borderId="32" xfId="0" applyFont="1" applyBorder="1" applyAlignment="1">
      <alignment horizontal="center" vertical="center"/>
    </xf>
    <xf numFmtId="0" fontId="15" fillId="0" borderId="3" xfId="0" applyFont="1" applyBorder="1" applyAlignment="1">
      <alignment horizontal="center" vertical="center"/>
    </xf>
    <xf numFmtId="0" fontId="15" fillId="0" borderId="6" xfId="0" applyFont="1" applyBorder="1" applyAlignment="1">
      <alignment horizontal="center" vertical="center"/>
    </xf>
    <xf numFmtId="0" fontId="11" fillId="4" borderId="48" xfId="0" applyFont="1" applyFill="1" applyBorder="1" applyAlignment="1">
      <alignment horizontal="center"/>
    </xf>
    <xf numFmtId="0" fontId="11" fillId="4" borderId="69" xfId="0" applyFont="1" applyFill="1" applyBorder="1" applyAlignment="1">
      <alignment horizontal="center"/>
    </xf>
    <xf numFmtId="0" fontId="11" fillId="4" borderId="49" xfId="0" applyFont="1" applyFill="1" applyBorder="1" applyAlignment="1">
      <alignment horizontal="center"/>
    </xf>
    <xf numFmtId="0" fontId="0" fillId="0" borderId="65" xfId="0" applyBorder="1" applyAlignment="1">
      <alignment horizontal="center" vertical="center" wrapText="1"/>
    </xf>
    <xf numFmtId="0" fontId="0" fillId="0" borderId="5" xfId="0" applyBorder="1" applyAlignment="1">
      <alignment horizontal="center" vertical="center" wrapText="1"/>
    </xf>
    <xf numFmtId="0" fontId="0" fillId="0" borderId="65" xfId="0" applyBorder="1" applyAlignment="1">
      <alignment horizontal="center" vertical="center"/>
    </xf>
    <xf numFmtId="0" fontId="0" fillId="0" borderId="5" xfId="0" applyBorder="1" applyAlignment="1">
      <alignment horizontal="center" vertical="center"/>
    </xf>
    <xf numFmtId="164" fontId="0" fillId="0" borderId="65" xfId="0" applyNumberFormat="1" applyBorder="1" applyAlignment="1">
      <alignment horizontal="center" vertical="center"/>
    </xf>
    <xf numFmtId="164" fontId="0" fillId="0" borderId="5" xfId="0" applyNumberFormat="1" applyBorder="1" applyAlignment="1">
      <alignment horizontal="center" vertical="center"/>
    </xf>
    <xf numFmtId="164" fontId="0" fillId="0" borderId="63" xfId="0" applyNumberFormat="1" applyBorder="1" applyAlignment="1">
      <alignment horizontal="center" vertical="center"/>
    </xf>
    <xf numFmtId="0" fontId="11" fillId="4" borderId="5" xfId="0" applyFont="1" applyFill="1" applyBorder="1" applyAlignment="1">
      <alignment horizontal="center" vertical="center" wrapText="1"/>
    </xf>
    <xf numFmtId="0" fontId="11" fillId="4" borderId="5" xfId="0" applyFont="1" applyFill="1" applyBorder="1" applyAlignment="1">
      <alignment horizontal="center"/>
    </xf>
    <xf numFmtId="0" fontId="0" fillId="0" borderId="0" xfId="0" applyAlignment="1">
      <alignment horizontal="center" vertical="center"/>
    </xf>
    <xf numFmtId="0" fontId="30" fillId="0" borderId="0" xfId="0" applyFont="1" applyAlignment="1">
      <alignment horizontal="center" vertical="center"/>
    </xf>
    <xf numFmtId="0" fontId="0" fillId="0" borderId="63" xfId="0" applyBorder="1" applyAlignment="1">
      <alignment horizontal="center" vertical="center" wrapText="1"/>
    </xf>
    <xf numFmtId="0" fontId="11" fillId="4" borderId="63" xfId="0" applyFont="1" applyFill="1" applyBorder="1" applyAlignment="1">
      <alignment horizontal="center" vertical="center"/>
    </xf>
    <xf numFmtId="0" fontId="11" fillId="4" borderId="64" xfId="0" applyFont="1" applyFill="1" applyBorder="1" applyAlignment="1">
      <alignment horizontal="center" vertical="center"/>
    </xf>
    <xf numFmtId="0" fontId="11" fillId="4" borderId="65" xfId="0" applyFont="1" applyFill="1" applyBorder="1" applyAlignment="1">
      <alignment horizontal="center" vertical="center"/>
    </xf>
    <xf numFmtId="0" fontId="0" fillId="0" borderId="63" xfId="0" applyBorder="1" applyAlignment="1">
      <alignment horizontal="left" vertical="top" wrapText="1"/>
    </xf>
    <xf numFmtId="0" fontId="0" fillId="0" borderId="64" xfId="0" applyBorder="1" applyAlignment="1">
      <alignment horizontal="left" vertical="top" wrapText="1"/>
    </xf>
    <xf numFmtId="0" fontId="11" fillId="4" borderId="63" xfId="0" applyFont="1" applyFill="1" applyBorder="1" applyAlignment="1">
      <alignment horizontal="center" vertical="center" wrapText="1"/>
    </xf>
    <xf numFmtId="0" fontId="11" fillId="4" borderId="64" xfId="0" applyFont="1" applyFill="1" applyBorder="1" applyAlignment="1">
      <alignment horizontal="center" vertical="center" wrapText="1"/>
    </xf>
    <xf numFmtId="0" fontId="11" fillId="4" borderId="65"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2" xfId="0" applyFont="1" applyBorder="1" applyAlignment="1">
      <alignment horizontal="center"/>
    </xf>
    <xf numFmtId="0" fontId="2" fillId="0" borderId="0" xfId="0" applyFont="1" applyAlignment="1">
      <alignment horizontal="center"/>
    </xf>
    <xf numFmtId="0" fontId="2" fillId="0" borderId="0" xfId="0" applyFont="1" applyAlignment="1">
      <alignment horizontal="center" wrapText="1"/>
    </xf>
    <xf numFmtId="0" fontId="2" fillId="0" borderId="43" xfId="0" applyFont="1" applyBorder="1" applyAlignment="1">
      <alignment horizontal="center"/>
    </xf>
    <xf numFmtId="0" fontId="5" fillId="0" borderId="0" xfId="0" applyFont="1" applyAlignment="1">
      <alignment horizontal="center"/>
    </xf>
    <xf numFmtId="165" fontId="0" fillId="0" borderId="13" xfId="0" applyNumberFormat="1" applyBorder="1" applyAlignment="1">
      <alignment horizontal="center" vertical="center"/>
    </xf>
    <xf numFmtId="0" fontId="0" fillId="0" borderId="13" xfId="0" applyBorder="1" applyAlignment="1">
      <alignment horizontal="center" vertical="center"/>
    </xf>
    <xf numFmtId="0" fontId="2" fillId="0" borderId="5" xfId="0" applyFont="1" applyBorder="1" applyAlignment="1">
      <alignment horizontal="center" vertical="center" wrapText="1"/>
    </xf>
    <xf numFmtId="0" fontId="2" fillId="0" borderId="5" xfId="0" applyFont="1" applyBorder="1" applyAlignment="1">
      <alignment horizontal="center"/>
    </xf>
    <xf numFmtId="0" fontId="2" fillId="0" borderId="5" xfId="0" applyFont="1" applyBorder="1" applyAlignment="1">
      <alignment horizontal="center" vertical="center"/>
    </xf>
    <xf numFmtId="0" fontId="2" fillId="0" borderId="48" xfId="0" applyFont="1" applyBorder="1" applyAlignment="1">
      <alignment horizontal="center"/>
    </xf>
    <xf numFmtId="0" fontId="2" fillId="0" borderId="69" xfId="0" applyFont="1" applyBorder="1" applyAlignment="1">
      <alignment horizontal="center"/>
    </xf>
    <xf numFmtId="0" fontId="2" fillId="0" borderId="49" xfId="0" applyFont="1" applyBorder="1" applyAlignment="1">
      <alignment horizontal="center"/>
    </xf>
    <xf numFmtId="0" fontId="0" fillId="0" borderId="0" xfId="0" applyAlignment="1">
      <alignment horizontal="justify" vertical="top" wrapText="1"/>
    </xf>
    <xf numFmtId="0" fontId="0" fillId="4" borderId="63" xfId="0" applyFill="1" applyBorder="1" applyAlignment="1">
      <alignment horizontal="center" vertical="center" wrapText="1"/>
    </xf>
    <xf numFmtId="0" fontId="0" fillId="4" borderId="65" xfId="0" applyFill="1" applyBorder="1" applyAlignment="1">
      <alignment horizontal="center" vertical="center" wrapText="1"/>
    </xf>
    <xf numFmtId="0" fontId="5" fillId="0" borderId="0" xfId="0" applyFont="1" applyAlignment="1">
      <alignment horizontal="center" vertical="center"/>
    </xf>
    <xf numFmtId="0" fontId="36" fillId="0" borderId="0" xfId="0" applyFont="1" applyAlignment="1">
      <alignment horizontal="center" vertical="center"/>
    </xf>
  </cellXfs>
  <cellStyles count="3">
    <cellStyle name="Comma [0]" xfId="1" builtinId="6"/>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117834</xdr:colOff>
      <xdr:row>1</xdr:row>
      <xdr:rowOff>128381</xdr:rowOff>
    </xdr:from>
    <xdr:to>
      <xdr:col>1</xdr:col>
      <xdr:colOff>412750</xdr:colOff>
      <xdr:row>4</xdr:row>
      <xdr:rowOff>96881</xdr:rowOff>
    </xdr:to>
    <xdr:pic>
      <xdr:nvPicPr>
        <xdr:cNvPr id="2" name="Picture 1" descr="logoUnand">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834" y="128381"/>
          <a:ext cx="596541" cy="540000"/>
        </a:xfrm>
        <a:prstGeom prst="rect">
          <a:avLst/>
        </a:prstGeom>
        <a:noFill/>
        <a:ln>
          <a:noFill/>
        </a:ln>
      </xdr:spPr>
    </xdr:pic>
    <xdr:clientData/>
  </xdr:twoCellAnchor>
  <xdr:twoCellAnchor editAs="oneCell">
    <xdr:from>
      <xdr:col>0</xdr:col>
      <xdr:colOff>117834</xdr:colOff>
      <xdr:row>34</xdr:row>
      <xdr:rowOff>128381</xdr:rowOff>
    </xdr:from>
    <xdr:to>
      <xdr:col>1</xdr:col>
      <xdr:colOff>412750</xdr:colOff>
      <xdr:row>37</xdr:row>
      <xdr:rowOff>96881</xdr:rowOff>
    </xdr:to>
    <xdr:pic>
      <xdr:nvPicPr>
        <xdr:cNvPr id="3" name="Picture 2" descr="logoUnand">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834" y="128381"/>
          <a:ext cx="596541" cy="5400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24</xdr:col>
      <xdr:colOff>470648</xdr:colOff>
      <xdr:row>19</xdr:row>
      <xdr:rowOff>134471</xdr:rowOff>
    </xdr:from>
    <xdr:to>
      <xdr:col>24</xdr:col>
      <xdr:colOff>470648</xdr:colOff>
      <xdr:row>25</xdr:row>
      <xdr:rowOff>134471</xdr:rowOff>
    </xdr:to>
    <xdr:cxnSp macro="">
      <xdr:nvCxnSpPr>
        <xdr:cNvPr id="2" name="Straight Arrow Connector 1">
          <a:extLst>
            <a:ext uri="{FF2B5EF4-FFF2-40B4-BE49-F238E27FC236}">
              <a16:creationId xmlns:a16="http://schemas.microsoft.com/office/drawing/2014/main" id="{00000000-0008-0000-0100-000002000000}"/>
            </a:ext>
          </a:extLst>
        </xdr:cNvPr>
        <xdr:cNvCxnSpPr/>
      </xdr:nvCxnSpPr>
      <xdr:spPr>
        <a:xfrm>
          <a:off x="10948148" y="3287246"/>
          <a:ext cx="0" cy="11620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504266</xdr:colOff>
      <xdr:row>19</xdr:row>
      <xdr:rowOff>156883</xdr:rowOff>
    </xdr:from>
    <xdr:to>
      <xdr:col>25</xdr:col>
      <xdr:colOff>481853</xdr:colOff>
      <xdr:row>26</xdr:row>
      <xdr:rowOff>123265</xdr:rowOff>
    </xdr:to>
    <xdr:cxnSp macro="">
      <xdr:nvCxnSpPr>
        <xdr:cNvPr id="3" name="Straight Arrow Connector 2">
          <a:extLst>
            <a:ext uri="{FF2B5EF4-FFF2-40B4-BE49-F238E27FC236}">
              <a16:creationId xmlns:a16="http://schemas.microsoft.com/office/drawing/2014/main" id="{00000000-0008-0000-0100-000003000000}"/>
            </a:ext>
          </a:extLst>
        </xdr:cNvPr>
        <xdr:cNvCxnSpPr/>
      </xdr:nvCxnSpPr>
      <xdr:spPr>
        <a:xfrm flipH="1">
          <a:off x="10981766" y="3309658"/>
          <a:ext cx="587187" cy="131893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526677</xdr:colOff>
      <xdr:row>19</xdr:row>
      <xdr:rowOff>145677</xdr:rowOff>
    </xdr:from>
    <xdr:to>
      <xdr:col>26</xdr:col>
      <xdr:colOff>481853</xdr:colOff>
      <xdr:row>27</xdr:row>
      <xdr:rowOff>145677</xdr:rowOff>
    </xdr:to>
    <xdr:cxnSp macro="">
      <xdr:nvCxnSpPr>
        <xdr:cNvPr id="4" name="Straight Arrow Connector 3">
          <a:extLst>
            <a:ext uri="{FF2B5EF4-FFF2-40B4-BE49-F238E27FC236}">
              <a16:creationId xmlns:a16="http://schemas.microsoft.com/office/drawing/2014/main" id="{00000000-0008-0000-0100-000004000000}"/>
            </a:ext>
          </a:extLst>
        </xdr:cNvPr>
        <xdr:cNvCxnSpPr/>
      </xdr:nvCxnSpPr>
      <xdr:spPr>
        <a:xfrm flipH="1">
          <a:off x="11004177" y="3298452"/>
          <a:ext cx="1174376" cy="15430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537883</xdr:colOff>
      <xdr:row>19</xdr:row>
      <xdr:rowOff>156883</xdr:rowOff>
    </xdr:from>
    <xdr:to>
      <xdr:col>27</xdr:col>
      <xdr:colOff>549089</xdr:colOff>
      <xdr:row>28</xdr:row>
      <xdr:rowOff>168089</xdr:rowOff>
    </xdr:to>
    <xdr:cxnSp macro="">
      <xdr:nvCxnSpPr>
        <xdr:cNvPr id="5" name="Straight Arrow Connector 4">
          <a:extLst>
            <a:ext uri="{FF2B5EF4-FFF2-40B4-BE49-F238E27FC236}">
              <a16:creationId xmlns:a16="http://schemas.microsoft.com/office/drawing/2014/main" id="{00000000-0008-0000-0100-000005000000}"/>
            </a:ext>
          </a:extLst>
        </xdr:cNvPr>
        <xdr:cNvCxnSpPr/>
      </xdr:nvCxnSpPr>
      <xdr:spPr>
        <a:xfrm flipH="1">
          <a:off x="11015383" y="3309658"/>
          <a:ext cx="1840006" cy="174475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470648</xdr:colOff>
      <xdr:row>54</xdr:row>
      <xdr:rowOff>134471</xdr:rowOff>
    </xdr:from>
    <xdr:to>
      <xdr:col>24</xdr:col>
      <xdr:colOff>470648</xdr:colOff>
      <xdr:row>60</xdr:row>
      <xdr:rowOff>134471</xdr:rowOff>
    </xdr:to>
    <xdr:cxnSp macro="">
      <xdr:nvCxnSpPr>
        <xdr:cNvPr id="6" name="Straight Arrow Connector 5">
          <a:extLst>
            <a:ext uri="{FF2B5EF4-FFF2-40B4-BE49-F238E27FC236}">
              <a16:creationId xmlns:a16="http://schemas.microsoft.com/office/drawing/2014/main" id="{00000000-0008-0000-0100-000006000000}"/>
            </a:ext>
          </a:extLst>
        </xdr:cNvPr>
        <xdr:cNvCxnSpPr/>
      </xdr:nvCxnSpPr>
      <xdr:spPr>
        <a:xfrm>
          <a:off x="10948148" y="10011896"/>
          <a:ext cx="0" cy="11430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504266</xdr:colOff>
      <xdr:row>54</xdr:row>
      <xdr:rowOff>156883</xdr:rowOff>
    </xdr:from>
    <xdr:to>
      <xdr:col>25</xdr:col>
      <xdr:colOff>481853</xdr:colOff>
      <xdr:row>61</xdr:row>
      <xdr:rowOff>123265</xdr:rowOff>
    </xdr:to>
    <xdr:cxnSp macro="">
      <xdr:nvCxnSpPr>
        <xdr:cNvPr id="7" name="Straight Arrow Connector 6">
          <a:extLst>
            <a:ext uri="{FF2B5EF4-FFF2-40B4-BE49-F238E27FC236}">
              <a16:creationId xmlns:a16="http://schemas.microsoft.com/office/drawing/2014/main" id="{00000000-0008-0000-0100-000007000000}"/>
            </a:ext>
          </a:extLst>
        </xdr:cNvPr>
        <xdr:cNvCxnSpPr/>
      </xdr:nvCxnSpPr>
      <xdr:spPr>
        <a:xfrm flipH="1">
          <a:off x="10981766" y="10034308"/>
          <a:ext cx="587187" cy="129988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526677</xdr:colOff>
      <xdr:row>54</xdr:row>
      <xdr:rowOff>145677</xdr:rowOff>
    </xdr:from>
    <xdr:to>
      <xdr:col>26</xdr:col>
      <xdr:colOff>481853</xdr:colOff>
      <xdr:row>62</xdr:row>
      <xdr:rowOff>145677</xdr:rowOff>
    </xdr:to>
    <xdr:cxnSp macro="">
      <xdr:nvCxnSpPr>
        <xdr:cNvPr id="8" name="Straight Arrow Connector 7">
          <a:extLst>
            <a:ext uri="{FF2B5EF4-FFF2-40B4-BE49-F238E27FC236}">
              <a16:creationId xmlns:a16="http://schemas.microsoft.com/office/drawing/2014/main" id="{00000000-0008-0000-0100-000008000000}"/>
            </a:ext>
          </a:extLst>
        </xdr:cNvPr>
        <xdr:cNvCxnSpPr/>
      </xdr:nvCxnSpPr>
      <xdr:spPr>
        <a:xfrm flipH="1">
          <a:off x="11004177" y="10023102"/>
          <a:ext cx="1174376" cy="15240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537883</xdr:colOff>
      <xdr:row>54</xdr:row>
      <xdr:rowOff>156883</xdr:rowOff>
    </xdr:from>
    <xdr:to>
      <xdr:col>27</xdr:col>
      <xdr:colOff>549089</xdr:colOff>
      <xdr:row>63</xdr:row>
      <xdr:rowOff>168089</xdr:rowOff>
    </xdr:to>
    <xdr:cxnSp macro="">
      <xdr:nvCxnSpPr>
        <xdr:cNvPr id="9" name="Straight Arrow Connector 8">
          <a:extLst>
            <a:ext uri="{FF2B5EF4-FFF2-40B4-BE49-F238E27FC236}">
              <a16:creationId xmlns:a16="http://schemas.microsoft.com/office/drawing/2014/main" id="{00000000-0008-0000-0100-000009000000}"/>
            </a:ext>
          </a:extLst>
        </xdr:cNvPr>
        <xdr:cNvCxnSpPr/>
      </xdr:nvCxnSpPr>
      <xdr:spPr>
        <a:xfrm flipH="1">
          <a:off x="11015383" y="10034308"/>
          <a:ext cx="1840006" cy="172570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24855</xdr:colOff>
      <xdr:row>0</xdr:row>
      <xdr:rowOff>33131</xdr:rowOff>
    </xdr:from>
    <xdr:to>
      <xdr:col>2</xdr:col>
      <xdr:colOff>165603</xdr:colOff>
      <xdr:row>2</xdr:row>
      <xdr:rowOff>192131</xdr:rowOff>
    </xdr:to>
    <xdr:pic>
      <xdr:nvPicPr>
        <xdr:cNvPr id="10" name="Picture 9" descr="logoUnand">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180" y="33131"/>
          <a:ext cx="445548" cy="540000"/>
        </a:xfrm>
        <a:prstGeom prst="rect">
          <a:avLst/>
        </a:prstGeom>
        <a:noFill/>
        <a:ln>
          <a:noFill/>
        </a:ln>
      </xdr:spPr>
    </xdr:pic>
    <xdr:clientData/>
  </xdr:twoCellAnchor>
  <xdr:twoCellAnchor editAs="oneCell">
    <xdr:from>
      <xdr:col>22</xdr:col>
      <xdr:colOff>38459</xdr:colOff>
      <xdr:row>0</xdr:row>
      <xdr:rowOff>33131</xdr:rowOff>
    </xdr:from>
    <xdr:to>
      <xdr:col>22</xdr:col>
      <xdr:colOff>481766</xdr:colOff>
      <xdr:row>2</xdr:row>
      <xdr:rowOff>192131</xdr:rowOff>
    </xdr:to>
    <xdr:pic>
      <xdr:nvPicPr>
        <xdr:cNvPr id="11" name="Picture 10" descr="logoUnand">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96759" y="33131"/>
          <a:ext cx="443307" cy="540000"/>
        </a:xfrm>
        <a:prstGeom prst="rect">
          <a:avLst/>
        </a:prstGeom>
        <a:noFill/>
        <a:ln>
          <a:noFill/>
        </a:ln>
      </xdr:spPr>
    </xdr:pic>
    <xdr:clientData/>
  </xdr:twoCellAnchor>
  <xdr:twoCellAnchor editAs="oneCell">
    <xdr:from>
      <xdr:col>22</xdr:col>
      <xdr:colOff>38459</xdr:colOff>
      <xdr:row>40</xdr:row>
      <xdr:rowOff>33131</xdr:rowOff>
    </xdr:from>
    <xdr:to>
      <xdr:col>22</xdr:col>
      <xdr:colOff>481766</xdr:colOff>
      <xdr:row>42</xdr:row>
      <xdr:rowOff>192131</xdr:rowOff>
    </xdr:to>
    <xdr:pic>
      <xdr:nvPicPr>
        <xdr:cNvPr id="12" name="Picture 11" descr="logoUnand">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96759" y="7224506"/>
          <a:ext cx="443307" cy="540000"/>
        </a:xfrm>
        <a:prstGeom prst="rect">
          <a:avLst/>
        </a:prstGeom>
        <a:noFill/>
        <a:ln>
          <a:noFill/>
        </a:ln>
      </xdr:spPr>
    </xdr:pic>
    <xdr:clientData/>
  </xdr:twoCellAnchor>
  <xdr:twoCellAnchor editAs="oneCell">
    <xdr:from>
      <xdr:col>22</xdr:col>
      <xdr:colOff>38459</xdr:colOff>
      <xdr:row>76</xdr:row>
      <xdr:rowOff>33131</xdr:rowOff>
    </xdr:from>
    <xdr:to>
      <xdr:col>22</xdr:col>
      <xdr:colOff>481766</xdr:colOff>
      <xdr:row>78</xdr:row>
      <xdr:rowOff>192131</xdr:rowOff>
    </xdr:to>
    <xdr:pic>
      <xdr:nvPicPr>
        <xdr:cNvPr id="13" name="Picture 12" descr="logoUnand">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96759" y="14101556"/>
          <a:ext cx="443307" cy="540000"/>
        </a:xfrm>
        <a:prstGeom prst="rect">
          <a:avLst/>
        </a:prstGeom>
        <a:noFill/>
        <a:ln>
          <a:noFill/>
        </a:ln>
      </xdr:spPr>
    </xdr:pic>
    <xdr:clientData/>
  </xdr:twoCellAnchor>
  <xdr:twoCellAnchor editAs="oneCell">
    <xdr:from>
      <xdr:col>40</xdr:col>
      <xdr:colOff>38459</xdr:colOff>
      <xdr:row>102</xdr:row>
      <xdr:rowOff>33131</xdr:rowOff>
    </xdr:from>
    <xdr:to>
      <xdr:col>41</xdr:col>
      <xdr:colOff>377857</xdr:colOff>
      <xdr:row>105</xdr:row>
      <xdr:rowOff>1631</xdr:rowOff>
    </xdr:to>
    <xdr:pic>
      <xdr:nvPicPr>
        <xdr:cNvPr id="18" name="Picture 17" descr="logoUnand">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69050" y="14753586"/>
          <a:ext cx="443307" cy="540000"/>
        </a:xfrm>
        <a:prstGeom prst="rect">
          <a:avLst/>
        </a:prstGeom>
        <a:noFill/>
        <a:ln>
          <a:noFill/>
        </a:ln>
      </xdr:spPr>
    </xdr:pic>
    <xdr:clientData/>
  </xdr:twoCellAnchor>
  <xdr:twoCellAnchor editAs="oneCell">
    <xdr:from>
      <xdr:col>72</xdr:col>
      <xdr:colOff>73097</xdr:colOff>
      <xdr:row>174</xdr:row>
      <xdr:rowOff>33131</xdr:rowOff>
    </xdr:from>
    <xdr:to>
      <xdr:col>73</xdr:col>
      <xdr:colOff>437963</xdr:colOff>
      <xdr:row>177</xdr:row>
      <xdr:rowOff>1631</xdr:rowOff>
    </xdr:to>
    <xdr:pic>
      <xdr:nvPicPr>
        <xdr:cNvPr id="20" name="Picture 19" descr="logoUnand">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886097" y="35916404"/>
          <a:ext cx="443307" cy="540000"/>
        </a:xfrm>
        <a:prstGeom prst="rect">
          <a:avLst/>
        </a:prstGeom>
        <a:noFill/>
        <a:ln>
          <a:noFill/>
        </a:ln>
      </xdr:spPr>
    </xdr:pic>
    <xdr:clientData/>
  </xdr:twoCellAnchor>
  <xdr:oneCellAnchor>
    <xdr:from>
      <xdr:col>75</xdr:col>
      <xdr:colOff>522514</xdr:colOff>
      <xdr:row>194</xdr:row>
      <xdr:rowOff>73479</xdr:rowOff>
    </xdr:from>
    <xdr:ext cx="2334988" cy="280307"/>
    <mc:AlternateContent xmlns:mc="http://schemas.openxmlformats.org/markup-compatibility/2006" xmlns:a14="http://schemas.microsoft.com/office/drawing/2010/main">
      <mc:Choice Requires="a14">
        <xdr:sp macro="" textlink="">
          <xdr:nvSpPr>
            <xdr:cNvPr id="21" name="TextBox 20">
              <a:extLst>
                <a:ext uri="{FF2B5EF4-FFF2-40B4-BE49-F238E27FC236}">
                  <a16:creationId xmlns:a16="http://schemas.microsoft.com/office/drawing/2014/main" id="{00000000-0008-0000-0100-000015000000}"/>
                </a:ext>
              </a:extLst>
            </xdr:cNvPr>
            <xdr:cNvSpPr txBox="1"/>
          </xdr:nvSpPr>
          <xdr:spPr>
            <a:xfrm>
              <a:off x="29723443" y="36309300"/>
              <a:ext cx="2334988" cy="2803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pPr/>
              <a14:m>
                <m:oMathPara xmlns:m="http://schemas.openxmlformats.org/officeDocument/2006/math">
                  <m:oMathParaPr>
                    <m:jc m:val="centerGroup"/>
                  </m:oMathParaPr>
                  <m:oMath xmlns:m="http://schemas.openxmlformats.org/officeDocument/2006/math">
                    <m:rad>
                      <m:radPr>
                        <m:ctrlPr>
                          <a:rPr lang="id-ID" sz="1100" i="1">
                            <a:latin typeface="Cambria Math" panose="02040503050406030204" pitchFamily="18" charset="0"/>
                          </a:rPr>
                        </m:ctrlPr>
                      </m:radPr>
                      <m:deg>
                        <m:r>
                          <m:rPr>
                            <m:brk m:alnAt="7"/>
                          </m:rPr>
                          <a:rPr lang="id-ID" sz="1100" b="0" i="1">
                            <a:latin typeface="Cambria Math"/>
                          </a:rPr>
                          <m:t>𝑛</m:t>
                        </m:r>
                      </m:deg>
                      <m:e>
                        <m:r>
                          <a:rPr lang="id-ID" sz="1100" i="1">
                            <a:latin typeface="Cambria Math"/>
                          </a:rPr>
                          <m:t>𝑎</m:t>
                        </m:r>
                        <m:r>
                          <a:rPr lang="id-ID" sz="1100" i="1" baseline="-25000">
                            <a:latin typeface="Cambria Math"/>
                          </a:rPr>
                          <m:t>11</m:t>
                        </m:r>
                        <m:r>
                          <a:rPr lang="id-ID" sz="1100" i="1">
                            <a:latin typeface="Cambria Math"/>
                          </a:rPr>
                          <m:t> </m:t>
                        </m:r>
                        <m:r>
                          <a:rPr lang="id-ID" sz="1100" i="1">
                            <a:latin typeface="Cambria Math"/>
                          </a:rPr>
                          <m:t>𝑥</m:t>
                        </m:r>
                        <m:r>
                          <a:rPr lang="id-ID" sz="1100" i="1">
                            <a:latin typeface="Cambria Math"/>
                          </a:rPr>
                          <m:t> </m:t>
                        </m:r>
                        <m:r>
                          <a:rPr lang="id-ID" sz="1100" i="1">
                            <a:latin typeface="Cambria Math"/>
                          </a:rPr>
                          <m:t>𝑎</m:t>
                        </m:r>
                        <m:r>
                          <a:rPr lang="id-ID" sz="1100" i="1" baseline="-25000">
                            <a:latin typeface="Cambria Math"/>
                          </a:rPr>
                          <m:t>12</m:t>
                        </m:r>
                        <m:r>
                          <a:rPr lang="id-ID" sz="1100" i="1">
                            <a:latin typeface="Cambria Math"/>
                          </a:rPr>
                          <m:t> </m:t>
                        </m:r>
                        <m:r>
                          <a:rPr lang="id-ID" sz="1100" i="1">
                            <a:latin typeface="Cambria Math"/>
                          </a:rPr>
                          <m:t>𝑥</m:t>
                        </m:r>
                        <m:r>
                          <a:rPr lang="id-ID" sz="1100" i="1">
                            <a:latin typeface="Cambria Math"/>
                          </a:rPr>
                          <m:t> </m:t>
                        </m:r>
                        <m:r>
                          <a:rPr lang="id-ID" sz="1100" i="1">
                            <a:latin typeface="Cambria Math"/>
                          </a:rPr>
                          <m:t>𝑎</m:t>
                        </m:r>
                        <m:r>
                          <a:rPr lang="id-ID" sz="1100" i="1" baseline="-25000">
                            <a:latin typeface="Cambria Math"/>
                          </a:rPr>
                          <m:t>13</m:t>
                        </m:r>
                        <m:r>
                          <a:rPr lang="id-ID" sz="1100" i="1">
                            <a:latin typeface="Cambria Math"/>
                          </a:rPr>
                          <m:t> </m:t>
                        </m:r>
                        <m:r>
                          <a:rPr lang="id-ID" sz="1100" i="1">
                            <a:latin typeface="Cambria Math"/>
                          </a:rPr>
                          <m:t>𝑥</m:t>
                        </m:r>
                        <m:r>
                          <a:rPr lang="id-ID" sz="1100" i="1">
                            <a:latin typeface="Cambria Math"/>
                          </a:rPr>
                          <m:t> </m:t>
                        </m:r>
                        <m:r>
                          <a:rPr lang="id-ID" sz="1100" i="1">
                            <a:latin typeface="Cambria Math"/>
                          </a:rPr>
                          <m:t>𝑎</m:t>
                        </m:r>
                        <m:r>
                          <a:rPr lang="id-ID" sz="1100" i="1" baseline="-25000">
                            <a:latin typeface="Cambria Math"/>
                          </a:rPr>
                          <m:t>14</m:t>
                        </m:r>
                        <m:r>
                          <a:rPr lang="id-ID" sz="1100" i="1">
                            <a:latin typeface="Cambria Math"/>
                          </a:rPr>
                          <m:t> </m:t>
                        </m:r>
                        <m:r>
                          <a:rPr lang="id-ID" sz="1100" i="1">
                            <a:latin typeface="Cambria Math"/>
                          </a:rPr>
                          <m:t>𝑥</m:t>
                        </m:r>
                        <m:r>
                          <a:rPr lang="id-ID" sz="1100" i="1">
                            <a:latin typeface="Cambria Math"/>
                          </a:rPr>
                          <m:t> </m:t>
                        </m:r>
                        <m:r>
                          <a:rPr lang="id-ID" sz="1100" i="1">
                            <a:latin typeface="Cambria Math"/>
                          </a:rPr>
                          <m:t>𝑎</m:t>
                        </m:r>
                        <m:r>
                          <a:rPr lang="id-ID" sz="1100" i="1" baseline="-25000">
                            <a:latin typeface="Cambria Math"/>
                          </a:rPr>
                          <m:t>15</m:t>
                        </m:r>
                        <m:r>
                          <a:rPr lang="id-ID" sz="1100" i="1">
                            <a:latin typeface="Cambria Math"/>
                          </a:rPr>
                          <m:t> </m:t>
                        </m:r>
                        <m:r>
                          <a:rPr lang="id-ID" sz="1100" i="1">
                            <a:latin typeface="Cambria Math"/>
                          </a:rPr>
                          <m:t>𝑥</m:t>
                        </m:r>
                        <m:r>
                          <a:rPr lang="id-ID" sz="1100" i="1">
                            <a:latin typeface="Cambria Math"/>
                          </a:rPr>
                          <m:t> </m:t>
                        </m:r>
                        <m:r>
                          <a:rPr lang="id-ID" sz="1100" i="1">
                            <a:latin typeface="Cambria Math"/>
                          </a:rPr>
                          <m:t>𝑎</m:t>
                        </m:r>
                        <m:r>
                          <a:rPr lang="id-ID" sz="1100" i="1" baseline="-25000">
                            <a:latin typeface="Cambria Math"/>
                          </a:rPr>
                          <m:t>16</m:t>
                        </m:r>
                      </m:e>
                    </m:rad>
                  </m:oMath>
                </m:oMathPara>
              </a14:m>
              <a:endParaRPr lang="id-ID" sz="1100"/>
            </a:p>
          </xdr:txBody>
        </xdr:sp>
      </mc:Choice>
      <mc:Fallback xmlns="">
        <xdr:sp macro="" textlink="">
          <xdr:nvSpPr>
            <xdr:cNvPr id="21" name="TextBox 20"/>
            <xdr:cNvSpPr txBox="1"/>
          </xdr:nvSpPr>
          <xdr:spPr>
            <a:xfrm>
              <a:off x="29723443" y="36309300"/>
              <a:ext cx="2334988" cy="2803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r>
                <a:rPr lang="id-ID" sz="1100" i="0">
                  <a:latin typeface="Cambria Math"/>
                </a:rPr>
                <a:t>√(</a:t>
              </a:r>
              <a:r>
                <a:rPr lang="id-ID" sz="1100" b="0" i="0">
                  <a:latin typeface="Cambria Math"/>
                </a:rPr>
                <a:t>𝑛&amp;</a:t>
              </a:r>
              <a:r>
                <a:rPr lang="id-ID" sz="1100" i="0">
                  <a:latin typeface="Cambria Math"/>
                </a:rPr>
                <a:t>𝑎</a:t>
              </a:r>
              <a:r>
                <a:rPr lang="id-ID" sz="1100" i="0" baseline="-25000">
                  <a:latin typeface="Cambria Math"/>
                </a:rPr>
                <a:t>11</a:t>
              </a:r>
              <a:r>
                <a:rPr lang="id-ID" sz="1100" i="0">
                  <a:latin typeface="Cambria Math"/>
                </a:rPr>
                <a:t> 𝑥 𝑎</a:t>
              </a:r>
              <a:r>
                <a:rPr lang="id-ID" sz="1100" i="0" baseline="-25000">
                  <a:latin typeface="Cambria Math"/>
                </a:rPr>
                <a:t>12</a:t>
              </a:r>
              <a:r>
                <a:rPr lang="id-ID" sz="1100" i="0">
                  <a:latin typeface="Cambria Math"/>
                </a:rPr>
                <a:t> 𝑥 𝑎</a:t>
              </a:r>
              <a:r>
                <a:rPr lang="id-ID" sz="1100" i="0" baseline="-25000">
                  <a:latin typeface="Cambria Math"/>
                </a:rPr>
                <a:t>13</a:t>
              </a:r>
              <a:r>
                <a:rPr lang="id-ID" sz="1100" i="0">
                  <a:latin typeface="Cambria Math"/>
                </a:rPr>
                <a:t> 𝑥 𝑎</a:t>
              </a:r>
              <a:r>
                <a:rPr lang="id-ID" sz="1100" i="0" baseline="-25000">
                  <a:latin typeface="Cambria Math"/>
                </a:rPr>
                <a:t>14</a:t>
              </a:r>
              <a:r>
                <a:rPr lang="id-ID" sz="1100" i="0">
                  <a:latin typeface="Cambria Math"/>
                </a:rPr>
                <a:t> 𝑥 𝑎</a:t>
              </a:r>
              <a:r>
                <a:rPr lang="id-ID" sz="1100" i="0" baseline="-25000">
                  <a:latin typeface="Cambria Math"/>
                </a:rPr>
                <a:t>15</a:t>
              </a:r>
              <a:r>
                <a:rPr lang="id-ID" sz="1100" i="0">
                  <a:latin typeface="Cambria Math"/>
                </a:rPr>
                <a:t> 𝑥 𝑎</a:t>
              </a:r>
              <a:r>
                <a:rPr lang="id-ID" sz="1100" i="0" baseline="-25000">
                  <a:latin typeface="Cambria Math"/>
                </a:rPr>
                <a:t>16)</a:t>
              </a:r>
              <a:endParaRPr lang="id-ID" sz="1100"/>
            </a:p>
          </xdr:txBody>
        </xdr:sp>
      </mc:Fallback>
    </mc:AlternateContent>
    <xdr:clientData/>
  </xdr:oneCellAnchor>
  <xdr:oneCellAnchor>
    <xdr:from>
      <xdr:col>75</xdr:col>
      <xdr:colOff>536124</xdr:colOff>
      <xdr:row>195</xdr:row>
      <xdr:rowOff>32655</xdr:rowOff>
    </xdr:from>
    <xdr:ext cx="838201" cy="466410"/>
    <mc:AlternateContent xmlns:mc="http://schemas.openxmlformats.org/markup-compatibility/2006" xmlns:a14="http://schemas.microsoft.com/office/drawing/2010/main">
      <mc:Choice Requires="a14">
        <xdr:sp macro="" textlink="">
          <xdr:nvSpPr>
            <xdr:cNvPr id="22" name="TextBox 21">
              <a:extLst>
                <a:ext uri="{FF2B5EF4-FFF2-40B4-BE49-F238E27FC236}">
                  <a16:creationId xmlns:a16="http://schemas.microsoft.com/office/drawing/2014/main" id="{00000000-0008-0000-0100-000016000000}"/>
                </a:ext>
              </a:extLst>
            </xdr:cNvPr>
            <xdr:cNvSpPr txBox="1"/>
          </xdr:nvSpPr>
          <xdr:spPr>
            <a:xfrm>
              <a:off x="29737053" y="36608655"/>
              <a:ext cx="838201" cy="4664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id-ID" sz="1300" i="1">
                            <a:latin typeface="Cambria Math" panose="02040503050406030204" pitchFamily="18" charset="0"/>
                          </a:rPr>
                        </m:ctrlPr>
                      </m:fPr>
                      <m:num>
                        <m:r>
                          <a:rPr lang="id-ID" sz="1300" b="0" i="1">
                            <a:latin typeface="Cambria Math"/>
                          </a:rPr>
                          <m:t>𝑤</m:t>
                        </m:r>
                        <m:r>
                          <a:rPr lang="id-ID" sz="1300" b="0" i="1" baseline="-25000">
                            <a:latin typeface="Cambria Math"/>
                          </a:rPr>
                          <m:t>𝑖</m:t>
                        </m:r>
                      </m:num>
                      <m:den>
                        <m:nary>
                          <m:naryPr>
                            <m:chr m:val="∑"/>
                            <m:subHide m:val="on"/>
                            <m:supHide m:val="on"/>
                            <m:ctrlPr>
                              <a:rPr lang="id-ID" sz="1300" i="1">
                                <a:latin typeface="Cambria Math" panose="02040503050406030204" pitchFamily="18" charset="0"/>
                              </a:rPr>
                            </m:ctrlPr>
                          </m:naryPr>
                          <m:sub/>
                          <m:sup/>
                          <m:e>
                            <m:r>
                              <a:rPr lang="id-ID" sz="1300" b="0" i="1">
                                <a:latin typeface="Cambria Math"/>
                              </a:rPr>
                              <m:t>𝑤</m:t>
                            </m:r>
                            <m:r>
                              <a:rPr lang="id-ID" sz="1300" b="0" i="1" baseline="-25000">
                                <a:latin typeface="Cambria Math"/>
                              </a:rPr>
                              <m:t>𝑖</m:t>
                            </m:r>
                          </m:e>
                        </m:nary>
                      </m:den>
                    </m:f>
                  </m:oMath>
                </m:oMathPara>
              </a14:m>
              <a:endParaRPr lang="id-ID" sz="1300"/>
            </a:p>
          </xdr:txBody>
        </xdr:sp>
      </mc:Choice>
      <mc:Fallback xmlns="">
        <xdr:sp macro="" textlink="">
          <xdr:nvSpPr>
            <xdr:cNvPr id="22" name="TextBox 21"/>
            <xdr:cNvSpPr txBox="1"/>
          </xdr:nvSpPr>
          <xdr:spPr>
            <a:xfrm>
              <a:off x="29737053" y="36608655"/>
              <a:ext cx="838201" cy="4664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id-ID" sz="1300" b="0" i="0">
                  <a:latin typeface="Cambria Math"/>
                </a:rPr>
                <a:t>𝑤</a:t>
              </a:r>
              <a:r>
                <a:rPr lang="id-ID" sz="1300" b="0" i="0" baseline="-25000">
                  <a:latin typeface="Cambria Math"/>
                </a:rPr>
                <a:t>𝑖/(∑▒</a:t>
              </a:r>
              <a:r>
                <a:rPr lang="id-ID" sz="1300" b="0" i="0">
                  <a:latin typeface="Cambria Math"/>
                </a:rPr>
                <a:t>𝑤</a:t>
              </a:r>
              <a:r>
                <a:rPr lang="id-ID" sz="1300" b="0" i="0" baseline="-25000">
                  <a:latin typeface="Cambria Math"/>
                </a:rPr>
                <a:t>𝑖)</a:t>
              </a:r>
              <a:endParaRPr lang="id-ID" sz="1300"/>
            </a:p>
          </xdr:txBody>
        </xdr:sp>
      </mc:Fallback>
    </mc:AlternateContent>
    <xdr:clientData/>
  </xdr:oneCellAnchor>
  <xdr:oneCellAnchor>
    <xdr:from>
      <xdr:col>75</xdr:col>
      <xdr:colOff>345620</xdr:colOff>
      <xdr:row>197</xdr:row>
      <xdr:rowOff>12246</xdr:rowOff>
    </xdr:from>
    <xdr:ext cx="375557" cy="311496"/>
    <mc:AlternateContent xmlns:mc="http://schemas.openxmlformats.org/markup-compatibility/2006" xmlns:a14="http://schemas.microsoft.com/office/drawing/2010/main">
      <mc:Choice Requires="a14">
        <xdr:sp macro="" textlink="">
          <xdr:nvSpPr>
            <xdr:cNvPr id="25" name="TextBox 24">
              <a:extLst>
                <a:ext uri="{FF2B5EF4-FFF2-40B4-BE49-F238E27FC236}">
                  <a16:creationId xmlns:a16="http://schemas.microsoft.com/office/drawing/2014/main" id="{00000000-0008-0000-0100-000019000000}"/>
                </a:ext>
              </a:extLst>
            </xdr:cNvPr>
            <xdr:cNvSpPr txBox="1"/>
          </xdr:nvSpPr>
          <xdr:spPr>
            <a:xfrm>
              <a:off x="29546549" y="36561032"/>
              <a:ext cx="37555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id-ID" sz="1400" i="1">
                        <a:latin typeface="Cambria Math"/>
                        <a:ea typeface="Cambria Math"/>
                      </a:rPr>
                      <m:t>𝛼</m:t>
                    </m:r>
                  </m:oMath>
                </m:oMathPara>
              </a14:m>
              <a:endParaRPr lang="id-ID" sz="1400"/>
            </a:p>
          </xdr:txBody>
        </xdr:sp>
      </mc:Choice>
      <mc:Fallback xmlns="">
        <xdr:sp macro="" textlink="">
          <xdr:nvSpPr>
            <xdr:cNvPr id="25" name="TextBox 24"/>
            <xdr:cNvSpPr txBox="1"/>
          </xdr:nvSpPr>
          <xdr:spPr>
            <a:xfrm>
              <a:off x="29546549" y="36561032"/>
              <a:ext cx="37555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id-ID" sz="1400" i="0">
                  <a:latin typeface="Cambria Math"/>
                  <a:ea typeface="Cambria Math"/>
                </a:rPr>
                <a:t>𝛼</a:t>
              </a:r>
              <a:endParaRPr lang="id-ID" sz="1400"/>
            </a:p>
          </xdr:txBody>
        </xdr:sp>
      </mc:Fallback>
    </mc:AlternateContent>
    <xdr:clientData/>
  </xdr:oneCellAnchor>
  <xdr:twoCellAnchor editAs="oneCell">
    <xdr:from>
      <xdr:col>40</xdr:col>
      <xdr:colOff>38459</xdr:colOff>
      <xdr:row>139</xdr:row>
      <xdr:rowOff>33131</xdr:rowOff>
    </xdr:from>
    <xdr:to>
      <xdr:col>41</xdr:col>
      <xdr:colOff>377857</xdr:colOff>
      <xdr:row>142</xdr:row>
      <xdr:rowOff>1631</xdr:rowOff>
    </xdr:to>
    <xdr:pic>
      <xdr:nvPicPr>
        <xdr:cNvPr id="19" name="Picture 18" descr="logoUnand">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99641" y="19741222"/>
          <a:ext cx="443307" cy="5400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1</xdr:row>
      <xdr:rowOff>0</xdr:rowOff>
    </xdr:from>
    <xdr:to>
      <xdr:col>2</xdr:col>
      <xdr:colOff>236932</xdr:colOff>
      <xdr:row>3</xdr:row>
      <xdr:rowOff>159000</xdr:rowOff>
    </xdr:to>
    <xdr:pic>
      <xdr:nvPicPr>
        <xdr:cNvPr id="2" name="Picture 1" descr="logoUnand">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6375" y="190500"/>
          <a:ext cx="443307" cy="5400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24</xdr:col>
      <xdr:colOff>470648</xdr:colOff>
      <xdr:row>16</xdr:row>
      <xdr:rowOff>134471</xdr:rowOff>
    </xdr:from>
    <xdr:to>
      <xdr:col>24</xdr:col>
      <xdr:colOff>470648</xdr:colOff>
      <xdr:row>22</xdr:row>
      <xdr:rowOff>134471</xdr:rowOff>
    </xdr:to>
    <xdr:cxnSp macro="">
      <xdr:nvCxnSpPr>
        <xdr:cNvPr id="3" name="Straight Arrow Connector 2">
          <a:extLst>
            <a:ext uri="{FF2B5EF4-FFF2-40B4-BE49-F238E27FC236}">
              <a16:creationId xmlns:a16="http://schemas.microsoft.com/office/drawing/2014/main" id="{00000000-0008-0000-0300-000003000000}"/>
            </a:ext>
          </a:extLst>
        </xdr:cNvPr>
        <xdr:cNvCxnSpPr/>
      </xdr:nvCxnSpPr>
      <xdr:spPr>
        <a:xfrm>
          <a:off x="10522324" y="2667000"/>
          <a:ext cx="0" cy="115420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504266</xdr:colOff>
      <xdr:row>16</xdr:row>
      <xdr:rowOff>156883</xdr:rowOff>
    </xdr:from>
    <xdr:to>
      <xdr:col>25</xdr:col>
      <xdr:colOff>481853</xdr:colOff>
      <xdr:row>23</xdr:row>
      <xdr:rowOff>123265</xdr:rowOff>
    </xdr:to>
    <xdr:cxnSp macro="">
      <xdr:nvCxnSpPr>
        <xdr:cNvPr id="5" name="Straight Arrow Connector 4">
          <a:extLst>
            <a:ext uri="{FF2B5EF4-FFF2-40B4-BE49-F238E27FC236}">
              <a16:creationId xmlns:a16="http://schemas.microsoft.com/office/drawing/2014/main" id="{00000000-0008-0000-0300-000005000000}"/>
            </a:ext>
          </a:extLst>
        </xdr:cNvPr>
        <xdr:cNvCxnSpPr/>
      </xdr:nvCxnSpPr>
      <xdr:spPr>
        <a:xfrm flipH="1">
          <a:off x="10555942" y="2689412"/>
          <a:ext cx="582705" cy="131108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526677</xdr:colOff>
      <xdr:row>16</xdr:row>
      <xdr:rowOff>145677</xdr:rowOff>
    </xdr:from>
    <xdr:to>
      <xdr:col>26</xdr:col>
      <xdr:colOff>481853</xdr:colOff>
      <xdr:row>24</xdr:row>
      <xdr:rowOff>145677</xdr:rowOff>
    </xdr:to>
    <xdr:cxnSp macro="">
      <xdr:nvCxnSpPr>
        <xdr:cNvPr id="6" name="Straight Arrow Connector 5">
          <a:extLst>
            <a:ext uri="{FF2B5EF4-FFF2-40B4-BE49-F238E27FC236}">
              <a16:creationId xmlns:a16="http://schemas.microsoft.com/office/drawing/2014/main" id="{00000000-0008-0000-0300-000006000000}"/>
            </a:ext>
          </a:extLst>
        </xdr:cNvPr>
        <xdr:cNvCxnSpPr/>
      </xdr:nvCxnSpPr>
      <xdr:spPr>
        <a:xfrm flipH="1">
          <a:off x="10578353" y="2678206"/>
          <a:ext cx="1165412" cy="153520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537883</xdr:colOff>
      <xdr:row>16</xdr:row>
      <xdr:rowOff>156883</xdr:rowOff>
    </xdr:from>
    <xdr:to>
      <xdr:col>27</xdr:col>
      <xdr:colOff>549089</xdr:colOff>
      <xdr:row>25</xdr:row>
      <xdr:rowOff>168089</xdr:rowOff>
    </xdr:to>
    <xdr:cxnSp macro="">
      <xdr:nvCxnSpPr>
        <xdr:cNvPr id="10" name="Straight Arrow Connector 9">
          <a:extLst>
            <a:ext uri="{FF2B5EF4-FFF2-40B4-BE49-F238E27FC236}">
              <a16:creationId xmlns:a16="http://schemas.microsoft.com/office/drawing/2014/main" id="{00000000-0008-0000-0300-00000A000000}"/>
            </a:ext>
          </a:extLst>
        </xdr:cNvPr>
        <xdr:cNvCxnSpPr/>
      </xdr:nvCxnSpPr>
      <xdr:spPr>
        <a:xfrm flipH="1">
          <a:off x="10589559" y="2689412"/>
          <a:ext cx="1826559" cy="173691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470648</xdr:colOff>
      <xdr:row>51</xdr:row>
      <xdr:rowOff>134471</xdr:rowOff>
    </xdr:from>
    <xdr:to>
      <xdr:col>24</xdr:col>
      <xdr:colOff>470648</xdr:colOff>
      <xdr:row>57</xdr:row>
      <xdr:rowOff>134471</xdr:rowOff>
    </xdr:to>
    <xdr:cxnSp macro="">
      <xdr:nvCxnSpPr>
        <xdr:cNvPr id="17" name="Straight Arrow Connector 16">
          <a:extLst>
            <a:ext uri="{FF2B5EF4-FFF2-40B4-BE49-F238E27FC236}">
              <a16:creationId xmlns:a16="http://schemas.microsoft.com/office/drawing/2014/main" id="{00000000-0008-0000-0300-000011000000}"/>
            </a:ext>
          </a:extLst>
        </xdr:cNvPr>
        <xdr:cNvCxnSpPr/>
      </xdr:nvCxnSpPr>
      <xdr:spPr>
        <a:xfrm>
          <a:off x="10539934" y="2665400"/>
          <a:ext cx="0" cy="1156607"/>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504266</xdr:colOff>
      <xdr:row>51</xdr:row>
      <xdr:rowOff>156883</xdr:rowOff>
    </xdr:from>
    <xdr:to>
      <xdr:col>25</xdr:col>
      <xdr:colOff>481853</xdr:colOff>
      <xdr:row>58</xdr:row>
      <xdr:rowOff>123265</xdr:rowOff>
    </xdr:to>
    <xdr:cxnSp macro="">
      <xdr:nvCxnSpPr>
        <xdr:cNvPr id="18" name="Straight Arrow Connector 17">
          <a:extLst>
            <a:ext uri="{FF2B5EF4-FFF2-40B4-BE49-F238E27FC236}">
              <a16:creationId xmlns:a16="http://schemas.microsoft.com/office/drawing/2014/main" id="{00000000-0008-0000-0300-000012000000}"/>
            </a:ext>
          </a:extLst>
        </xdr:cNvPr>
        <xdr:cNvCxnSpPr/>
      </xdr:nvCxnSpPr>
      <xdr:spPr>
        <a:xfrm flipH="1">
          <a:off x="10573552" y="2687812"/>
          <a:ext cx="589908" cy="1313489"/>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526677</xdr:colOff>
      <xdr:row>51</xdr:row>
      <xdr:rowOff>145677</xdr:rowOff>
    </xdr:from>
    <xdr:to>
      <xdr:col>26</xdr:col>
      <xdr:colOff>481853</xdr:colOff>
      <xdr:row>59</xdr:row>
      <xdr:rowOff>145677</xdr:rowOff>
    </xdr:to>
    <xdr:cxnSp macro="">
      <xdr:nvCxnSpPr>
        <xdr:cNvPr id="19" name="Straight Arrow Connector 18">
          <a:extLst>
            <a:ext uri="{FF2B5EF4-FFF2-40B4-BE49-F238E27FC236}">
              <a16:creationId xmlns:a16="http://schemas.microsoft.com/office/drawing/2014/main" id="{00000000-0008-0000-0300-000013000000}"/>
            </a:ext>
          </a:extLst>
        </xdr:cNvPr>
        <xdr:cNvCxnSpPr/>
      </xdr:nvCxnSpPr>
      <xdr:spPr>
        <a:xfrm flipH="1">
          <a:off x="10595963" y="2676606"/>
          <a:ext cx="1179819" cy="1537607"/>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537883</xdr:colOff>
      <xdr:row>51</xdr:row>
      <xdr:rowOff>156883</xdr:rowOff>
    </xdr:from>
    <xdr:to>
      <xdr:col>27</xdr:col>
      <xdr:colOff>549089</xdr:colOff>
      <xdr:row>60</xdr:row>
      <xdr:rowOff>168089</xdr:rowOff>
    </xdr:to>
    <xdr:cxnSp macro="">
      <xdr:nvCxnSpPr>
        <xdr:cNvPr id="20" name="Straight Arrow Connector 19">
          <a:extLst>
            <a:ext uri="{FF2B5EF4-FFF2-40B4-BE49-F238E27FC236}">
              <a16:creationId xmlns:a16="http://schemas.microsoft.com/office/drawing/2014/main" id="{00000000-0008-0000-0300-000014000000}"/>
            </a:ext>
          </a:extLst>
        </xdr:cNvPr>
        <xdr:cNvCxnSpPr/>
      </xdr:nvCxnSpPr>
      <xdr:spPr>
        <a:xfrm flipH="1">
          <a:off x="10607169" y="2687812"/>
          <a:ext cx="1848170" cy="173931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24855</xdr:colOff>
      <xdr:row>0</xdr:row>
      <xdr:rowOff>33131</xdr:rowOff>
    </xdr:from>
    <xdr:to>
      <xdr:col>2</xdr:col>
      <xdr:colOff>165603</xdr:colOff>
      <xdr:row>2</xdr:row>
      <xdr:rowOff>192131</xdr:rowOff>
    </xdr:to>
    <xdr:pic>
      <xdr:nvPicPr>
        <xdr:cNvPr id="11" name="Picture 10" descr="logoUnand">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594" y="33131"/>
          <a:ext cx="447205" cy="540000"/>
        </a:xfrm>
        <a:prstGeom prst="rect">
          <a:avLst/>
        </a:prstGeom>
        <a:noFill/>
        <a:ln>
          <a:noFill/>
        </a:ln>
      </xdr:spPr>
    </xdr:pic>
    <xdr:clientData/>
  </xdr:twoCellAnchor>
  <xdr:twoCellAnchor editAs="oneCell">
    <xdr:from>
      <xdr:col>22</xdr:col>
      <xdr:colOff>38459</xdr:colOff>
      <xdr:row>0</xdr:row>
      <xdr:rowOff>33131</xdr:rowOff>
    </xdr:from>
    <xdr:to>
      <xdr:col>22</xdr:col>
      <xdr:colOff>481766</xdr:colOff>
      <xdr:row>2</xdr:row>
      <xdr:rowOff>192131</xdr:rowOff>
    </xdr:to>
    <xdr:pic>
      <xdr:nvPicPr>
        <xdr:cNvPr id="12" name="Picture 11" descr="logoUnand">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77709" y="33131"/>
          <a:ext cx="443307" cy="540000"/>
        </a:xfrm>
        <a:prstGeom prst="rect">
          <a:avLst/>
        </a:prstGeom>
        <a:noFill/>
        <a:ln>
          <a:noFill/>
        </a:ln>
      </xdr:spPr>
    </xdr:pic>
    <xdr:clientData/>
  </xdr:twoCellAnchor>
  <xdr:twoCellAnchor editAs="oneCell">
    <xdr:from>
      <xdr:col>22</xdr:col>
      <xdr:colOff>38459</xdr:colOff>
      <xdr:row>37</xdr:row>
      <xdr:rowOff>33131</xdr:rowOff>
    </xdr:from>
    <xdr:to>
      <xdr:col>22</xdr:col>
      <xdr:colOff>481766</xdr:colOff>
      <xdr:row>39</xdr:row>
      <xdr:rowOff>192131</xdr:rowOff>
    </xdr:to>
    <xdr:pic>
      <xdr:nvPicPr>
        <xdr:cNvPr id="13" name="Picture 12" descr="logoUnand">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77709" y="33131"/>
          <a:ext cx="443307" cy="540000"/>
        </a:xfrm>
        <a:prstGeom prst="rect">
          <a:avLst/>
        </a:prstGeom>
        <a:noFill/>
        <a:ln>
          <a:noFill/>
        </a:ln>
      </xdr:spPr>
    </xdr:pic>
    <xdr:clientData/>
  </xdr:twoCellAnchor>
  <xdr:twoCellAnchor editAs="oneCell">
    <xdr:from>
      <xdr:col>22</xdr:col>
      <xdr:colOff>38459</xdr:colOff>
      <xdr:row>73</xdr:row>
      <xdr:rowOff>33131</xdr:rowOff>
    </xdr:from>
    <xdr:to>
      <xdr:col>22</xdr:col>
      <xdr:colOff>481766</xdr:colOff>
      <xdr:row>75</xdr:row>
      <xdr:rowOff>192131</xdr:rowOff>
    </xdr:to>
    <xdr:pic>
      <xdr:nvPicPr>
        <xdr:cNvPr id="14" name="Picture 13" descr="logoUnand">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77709" y="7258524"/>
          <a:ext cx="443307" cy="5400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341018</xdr:colOff>
      <xdr:row>1</xdr:row>
      <xdr:rowOff>33131</xdr:rowOff>
    </xdr:from>
    <xdr:to>
      <xdr:col>1</xdr:col>
      <xdr:colOff>515471</xdr:colOff>
      <xdr:row>4</xdr:row>
      <xdr:rowOff>1631</xdr:rowOff>
    </xdr:to>
    <xdr:pic>
      <xdr:nvPicPr>
        <xdr:cNvPr id="2" name="Picture 1" descr="logoUnand">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1018" y="223631"/>
          <a:ext cx="555453" cy="540000"/>
        </a:xfrm>
        <a:prstGeom prst="rect">
          <a:avLst/>
        </a:prstGeom>
        <a:noFill/>
        <a:ln>
          <a:noFill/>
        </a:ln>
      </xdr:spPr>
    </xdr:pic>
    <xdr:clientData/>
  </xdr:twoCellAnchor>
  <xdr:twoCellAnchor editAs="oneCell">
    <xdr:from>
      <xdr:col>0</xdr:col>
      <xdr:colOff>341018</xdr:colOff>
      <xdr:row>85</xdr:row>
      <xdr:rowOff>33131</xdr:rowOff>
    </xdr:from>
    <xdr:to>
      <xdr:col>1</xdr:col>
      <xdr:colOff>515471</xdr:colOff>
      <xdr:row>88</xdr:row>
      <xdr:rowOff>1631</xdr:rowOff>
    </xdr:to>
    <xdr:pic>
      <xdr:nvPicPr>
        <xdr:cNvPr id="3" name="Picture 2" descr="logoUnand">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1018" y="223631"/>
          <a:ext cx="555453" cy="54000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484907</xdr:colOff>
      <xdr:row>17</xdr:row>
      <xdr:rowOff>103909</xdr:rowOff>
    </xdr:from>
    <xdr:to>
      <xdr:col>4</xdr:col>
      <xdr:colOff>79605</xdr:colOff>
      <xdr:row>21</xdr:row>
      <xdr:rowOff>71251</xdr:rowOff>
    </xdr:to>
    <xdr:pic>
      <xdr:nvPicPr>
        <xdr:cNvPr id="3" name="Picture 2" descr="logoUnand">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7000"/>
                  </a14:imgEffect>
                </a14:imgLayer>
              </a14:imgProps>
            </a:ext>
            <a:ext uri="{28A0092B-C50C-407E-A947-70E740481C1C}">
              <a14:useLocalDpi xmlns:a14="http://schemas.microsoft.com/office/drawing/2010/main" val="0"/>
            </a:ext>
          </a:extLst>
        </a:blip>
        <a:srcRect/>
        <a:stretch>
          <a:fillRect/>
        </a:stretch>
      </xdr:blipFill>
      <xdr:spPr bwMode="auto">
        <a:xfrm>
          <a:off x="1723157" y="3342409"/>
          <a:ext cx="832948" cy="72934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scribd.com/document/113922741/Menghitung-Volume-Kendaraan" TargetMode="External"/><Relationship Id="rId1" Type="http://schemas.openxmlformats.org/officeDocument/2006/relationships/hyperlink" Target="https://www.scribd.com/document/113922741/Menghitung-Volume-Kendaraan"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F56"/>
  <sheetViews>
    <sheetView view="pageBreakPreview" topLeftCell="A22" zoomScale="70" zoomScaleNormal="70" zoomScaleSheetLayoutView="70" workbookViewId="0">
      <selection activeCell="K29" sqref="K29"/>
    </sheetView>
  </sheetViews>
  <sheetFormatPr defaultRowHeight="15" x14ac:dyDescent="0.25"/>
  <cols>
    <col min="1" max="1" width="4.5703125" style="112" customWidth="1"/>
    <col min="2" max="2" width="42.140625" style="112" customWidth="1"/>
    <col min="3" max="17" width="4.7109375" style="112" customWidth="1"/>
    <col min="18" max="19" width="7.85546875" style="112" customWidth="1"/>
    <col min="20" max="16384" width="9.140625" style="112"/>
  </cols>
  <sheetData>
    <row r="1" spans="1:32" x14ac:dyDescent="0.25">
      <c r="Q1" s="113" t="s">
        <v>167</v>
      </c>
    </row>
    <row r="2" spans="1:32" x14ac:dyDescent="0.25">
      <c r="A2" s="328" t="s">
        <v>62</v>
      </c>
      <c r="B2" s="328"/>
      <c r="C2" s="328"/>
      <c r="D2" s="328"/>
      <c r="E2" s="328"/>
      <c r="F2" s="328"/>
      <c r="G2" s="328"/>
      <c r="H2" s="328"/>
      <c r="I2" s="328"/>
      <c r="J2" s="328"/>
      <c r="K2" s="328"/>
      <c r="L2" s="328"/>
      <c r="M2" s="328"/>
      <c r="N2" s="328"/>
      <c r="O2" s="328"/>
      <c r="P2" s="328"/>
      <c r="Q2" s="328"/>
      <c r="R2" s="328"/>
      <c r="S2" s="328"/>
      <c r="T2" s="114"/>
      <c r="U2" s="114"/>
      <c r="V2" s="114"/>
      <c r="W2" s="114"/>
      <c r="X2" s="114"/>
      <c r="Y2" s="114"/>
      <c r="Z2" s="114"/>
      <c r="AA2" s="114"/>
      <c r="AB2" s="114"/>
      <c r="AC2" s="114"/>
      <c r="AD2" s="114"/>
      <c r="AE2" s="114"/>
      <c r="AF2" s="114"/>
    </row>
    <row r="3" spans="1:32" ht="15" customHeight="1" x14ac:dyDescent="0.25">
      <c r="A3" s="329" t="s">
        <v>63</v>
      </c>
      <c r="B3" s="329"/>
      <c r="C3" s="329"/>
      <c r="D3" s="329"/>
      <c r="E3" s="329"/>
      <c r="F3" s="329"/>
      <c r="G3" s="329"/>
      <c r="H3" s="329"/>
      <c r="I3" s="329"/>
      <c r="J3" s="329"/>
      <c r="K3" s="329"/>
      <c r="L3" s="329"/>
      <c r="M3" s="329"/>
      <c r="N3" s="329"/>
      <c r="O3" s="329"/>
      <c r="P3" s="329"/>
      <c r="Q3" s="329"/>
      <c r="R3" s="329"/>
      <c r="S3" s="329"/>
      <c r="T3" s="115"/>
      <c r="U3" s="115"/>
      <c r="V3" s="115"/>
      <c r="W3" s="115"/>
      <c r="X3" s="115"/>
      <c r="Y3" s="115"/>
      <c r="Z3" s="115"/>
      <c r="AA3" s="115"/>
      <c r="AB3" s="115"/>
      <c r="AC3" s="115"/>
      <c r="AD3" s="115"/>
      <c r="AE3" s="115"/>
      <c r="AF3" s="115"/>
    </row>
    <row r="4" spans="1:32" x14ac:dyDescent="0.25">
      <c r="A4" s="330" t="s">
        <v>64</v>
      </c>
      <c r="B4" s="330"/>
      <c r="C4" s="330"/>
      <c r="D4" s="330"/>
      <c r="E4" s="330"/>
      <c r="F4" s="330"/>
      <c r="G4" s="330"/>
      <c r="H4" s="330"/>
      <c r="I4" s="330"/>
      <c r="J4" s="330"/>
      <c r="K4" s="330"/>
      <c r="L4" s="330"/>
      <c r="M4" s="330"/>
      <c r="N4" s="330"/>
      <c r="O4" s="330"/>
      <c r="P4" s="330"/>
      <c r="Q4" s="330"/>
      <c r="R4" s="330"/>
      <c r="S4" s="330"/>
      <c r="T4" s="116"/>
      <c r="U4" s="116"/>
      <c r="V4" s="116"/>
      <c r="W4" s="116"/>
      <c r="X4" s="116"/>
      <c r="Y4" s="116"/>
      <c r="Z4" s="116"/>
      <c r="AA4" s="116"/>
      <c r="AB4" s="116"/>
      <c r="AC4" s="116"/>
      <c r="AD4" s="116"/>
      <c r="AE4" s="116"/>
      <c r="AF4" s="116"/>
    </row>
    <row r="5" spans="1:32" ht="15.75" thickBot="1" x14ac:dyDescent="0.3">
      <c r="A5" s="331"/>
      <c r="B5" s="331"/>
      <c r="C5" s="331"/>
      <c r="D5" s="331"/>
      <c r="E5" s="331"/>
      <c r="F5" s="331"/>
      <c r="G5" s="331"/>
      <c r="H5" s="331"/>
      <c r="I5" s="331"/>
      <c r="J5" s="331"/>
      <c r="K5" s="331"/>
      <c r="L5" s="331"/>
      <c r="M5" s="331"/>
      <c r="N5" s="331"/>
      <c r="O5" s="331"/>
      <c r="P5" s="331"/>
      <c r="Q5" s="331"/>
      <c r="R5" s="331"/>
      <c r="S5" s="331"/>
      <c r="T5" s="116"/>
      <c r="U5" s="116"/>
      <c r="V5" s="116"/>
      <c r="W5" s="116"/>
      <c r="X5" s="116"/>
      <c r="Y5" s="116"/>
      <c r="Z5" s="116"/>
      <c r="AA5" s="116"/>
      <c r="AB5" s="116"/>
      <c r="AC5" s="116"/>
      <c r="AD5" s="116"/>
      <c r="AE5" s="116"/>
      <c r="AF5" s="116"/>
    </row>
    <row r="6" spans="1:32" ht="15.75" thickTop="1" x14ac:dyDescent="0.25">
      <c r="A6" s="326" t="s">
        <v>181</v>
      </c>
      <c r="B6" s="326"/>
      <c r="C6" s="326"/>
      <c r="D6" s="326"/>
      <c r="E6" s="326"/>
      <c r="F6" s="326"/>
      <c r="G6" s="326"/>
      <c r="H6" s="326"/>
      <c r="I6" s="326"/>
      <c r="J6" s="326"/>
      <c r="K6" s="326"/>
      <c r="L6" s="326"/>
      <c r="M6" s="326"/>
      <c r="N6" s="326"/>
      <c r="O6" s="326"/>
      <c r="P6" s="326"/>
      <c r="Q6" s="326"/>
      <c r="R6" s="326"/>
      <c r="S6" s="326"/>
      <c r="T6" s="116"/>
      <c r="U6" s="116"/>
      <c r="V6" s="116"/>
      <c r="W6" s="116"/>
      <c r="X6" s="116"/>
      <c r="Y6" s="116"/>
      <c r="Z6" s="116"/>
      <c r="AA6" s="116"/>
      <c r="AB6" s="116"/>
      <c r="AC6" s="116"/>
      <c r="AD6" s="116"/>
      <c r="AE6" s="116"/>
      <c r="AF6" s="116"/>
    </row>
    <row r="7" spans="1:32" x14ac:dyDescent="0.25">
      <c r="A7" s="327"/>
      <c r="B7" s="327"/>
      <c r="C7" s="327"/>
      <c r="D7" s="327"/>
      <c r="E7" s="327"/>
      <c r="F7" s="327"/>
      <c r="G7" s="327"/>
      <c r="H7" s="327"/>
      <c r="I7" s="327"/>
      <c r="J7" s="327"/>
      <c r="K7" s="327"/>
      <c r="L7" s="327"/>
      <c r="M7" s="327"/>
      <c r="N7" s="327"/>
      <c r="O7" s="327"/>
      <c r="P7" s="327"/>
      <c r="Q7" s="327"/>
      <c r="R7" s="327"/>
      <c r="S7" s="327"/>
    </row>
    <row r="8" spans="1:32" ht="15.75" thickBot="1" x14ac:dyDescent="0.3"/>
    <row r="9" spans="1:32" ht="15.75" thickTop="1" x14ac:dyDescent="0.25">
      <c r="A9" s="342" t="s">
        <v>6</v>
      </c>
      <c r="B9" s="343"/>
      <c r="C9" s="346" t="s">
        <v>7</v>
      </c>
      <c r="D9" s="346"/>
      <c r="E9" s="346"/>
      <c r="F9" s="346"/>
      <c r="G9" s="346"/>
      <c r="H9" s="346"/>
      <c r="I9" s="346"/>
      <c r="J9" s="346"/>
      <c r="K9" s="346"/>
      <c r="L9" s="346"/>
      <c r="M9" s="346"/>
      <c r="N9" s="346"/>
      <c r="O9" s="346"/>
      <c r="P9" s="346"/>
      <c r="Q9" s="346"/>
      <c r="R9" s="340" t="s">
        <v>16</v>
      </c>
      <c r="S9" s="338" t="s">
        <v>58</v>
      </c>
    </row>
    <row r="10" spans="1:32" x14ac:dyDescent="0.25">
      <c r="A10" s="344"/>
      <c r="B10" s="345"/>
      <c r="C10" s="117">
        <v>1</v>
      </c>
      <c r="D10" s="117">
        <v>2</v>
      </c>
      <c r="E10" s="117">
        <v>3</v>
      </c>
      <c r="F10" s="117">
        <v>4</v>
      </c>
      <c r="G10" s="117">
        <v>5</v>
      </c>
      <c r="H10" s="117">
        <v>6</v>
      </c>
      <c r="I10" s="117">
        <v>7</v>
      </c>
      <c r="J10" s="117">
        <v>8</v>
      </c>
      <c r="K10" s="117">
        <v>9</v>
      </c>
      <c r="L10" s="117">
        <v>10</v>
      </c>
      <c r="M10" s="117">
        <v>11</v>
      </c>
      <c r="N10" s="117">
        <v>12</v>
      </c>
      <c r="O10" s="117">
        <v>13</v>
      </c>
      <c r="P10" s="117">
        <v>14</v>
      </c>
      <c r="Q10" s="117">
        <v>15</v>
      </c>
      <c r="R10" s="341"/>
      <c r="S10" s="339"/>
    </row>
    <row r="11" spans="1:32" x14ac:dyDescent="0.25">
      <c r="A11" s="336" t="s">
        <v>1</v>
      </c>
      <c r="B11" s="337"/>
      <c r="C11" s="119"/>
      <c r="D11" s="119"/>
      <c r="E11" s="119"/>
      <c r="F11" s="119"/>
      <c r="G11" s="119"/>
      <c r="H11" s="119"/>
      <c r="I11" s="119"/>
      <c r="J11" s="119"/>
      <c r="K11" s="119"/>
      <c r="L11" s="119"/>
      <c r="M11" s="119"/>
      <c r="N11" s="119"/>
      <c r="O11" s="119"/>
      <c r="P11" s="119"/>
      <c r="Q11" s="119"/>
      <c r="R11" s="120"/>
      <c r="S11" s="121"/>
    </row>
    <row r="12" spans="1:32" x14ac:dyDescent="0.25">
      <c r="A12" s="122"/>
      <c r="B12" s="123" t="s">
        <v>2</v>
      </c>
      <c r="C12" s="124">
        <v>5</v>
      </c>
      <c r="D12" s="124">
        <v>5</v>
      </c>
      <c r="E12" s="124">
        <v>5</v>
      </c>
      <c r="F12" s="124">
        <v>5</v>
      </c>
      <c r="G12" s="124">
        <v>5</v>
      </c>
      <c r="H12" s="124">
        <v>5</v>
      </c>
      <c r="I12" s="124">
        <v>5</v>
      </c>
      <c r="J12" s="124">
        <v>4</v>
      </c>
      <c r="K12" s="124">
        <v>3</v>
      </c>
      <c r="L12" s="124">
        <v>4</v>
      </c>
      <c r="M12" s="124">
        <v>5</v>
      </c>
      <c r="N12" s="124">
        <v>5</v>
      </c>
      <c r="O12" s="124">
        <v>4</v>
      </c>
      <c r="P12" s="124">
        <v>4</v>
      </c>
      <c r="Q12" s="124">
        <v>5</v>
      </c>
      <c r="R12" s="125">
        <f>AVERAGE(C12:Q12)</f>
        <v>4.5999999999999996</v>
      </c>
      <c r="S12" s="126">
        <f>(R12/SUM($R$12:$R$15))*100</f>
        <v>28.512396694214875</v>
      </c>
    </row>
    <row r="13" spans="1:32" x14ac:dyDescent="0.25">
      <c r="A13" s="122"/>
      <c r="B13" s="123" t="s">
        <v>3</v>
      </c>
      <c r="C13" s="124">
        <v>4</v>
      </c>
      <c r="D13" s="124">
        <v>5</v>
      </c>
      <c r="E13" s="124">
        <v>3</v>
      </c>
      <c r="F13" s="124">
        <v>5</v>
      </c>
      <c r="G13" s="124">
        <v>5</v>
      </c>
      <c r="H13" s="124">
        <v>4</v>
      </c>
      <c r="I13" s="124">
        <v>3</v>
      </c>
      <c r="J13" s="124">
        <v>4</v>
      </c>
      <c r="K13" s="124">
        <v>3</v>
      </c>
      <c r="L13" s="124">
        <v>3</v>
      </c>
      <c r="M13" s="124">
        <v>4</v>
      </c>
      <c r="N13" s="124">
        <v>4</v>
      </c>
      <c r="O13" s="124">
        <v>3</v>
      </c>
      <c r="P13" s="124">
        <v>3</v>
      </c>
      <c r="Q13" s="124">
        <v>5</v>
      </c>
      <c r="R13" s="125">
        <f>AVERAGE(C13:Q13)</f>
        <v>3.8666666666666667</v>
      </c>
      <c r="S13" s="126">
        <f t="shared" ref="S13:S15" si="0">(R13/SUM($R$12:$R$15))*100</f>
        <v>23.966942148760332</v>
      </c>
    </row>
    <row r="14" spans="1:32" x14ac:dyDescent="0.25">
      <c r="A14" s="122"/>
      <c r="B14" s="123" t="s">
        <v>4</v>
      </c>
      <c r="C14" s="124">
        <v>5</v>
      </c>
      <c r="D14" s="124">
        <v>5</v>
      </c>
      <c r="E14" s="124">
        <v>5</v>
      </c>
      <c r="F14" s="124">
        <v>5</v>
      </c>
      <c r="G14" s="124">
        <v>5</v>
      </c>
      <c r="H14" s="124">
        <v>5</v>
      </c>
      <c r="I14" s="124">
        <v>5</v>
      </c>
      <c r="J14" s="124">
        <v>5</v>
      </c>
      <c r="K14" s="124">
        <v>5</v>
      </c>
      <c r="L14" s="124">
        <v>5</v>
      </c>
      <c r="M14" s="124">
        <v>4</v>
      </c>
      <c r="N14" s="124">
        <v>5</v>
      </c>
      <c r="O14" s="124">
        <v>4</v>
      </c>
      <c r="P14" s="124">
        <v>4</v>
      </c>
      <c r="Q14" s="124">
        <v>5</v>
      </c>
      <c r="R14" s="125">
        <f>AVERAGE(C14:Q14)</f>
        <v>4.8</v>
      </c>
      <c r="S14" s="126">
        <f t="shared" si="0"/>
        <v>29.75206611570248</v>
      </c>
    </row>
    <row r="15" spans="1:32" x14ac:dyDescent="0.25">
      <c r="A15" s="127"/>
      <c r="B15" s="128" t="s">
        <v>5</v>
      </c>
      <c r="C15" s="129">
        <v>3</v>
      </c>
      <c r="D15" s="129">
        <v>5</v>
      </c>
      <c r="E15" s="129">
        <v>2</v>
      </c>
      <c r="F15" s="129">
        <v>3</v>
      </c>
      <c r="G15" s="129">
        <v>4</v>
      </c>
      <c r="H15" s="129">
        <v>3</v>
      </c>
      <c r="I15" s="129">
        <v>3</v>
      </c>
      <c r="J15" s="129">
        <v>2</v>
      </c>
      <c r="K15" s="129">
        <v>3</v>
      </c>
      <c r="L15" s="129">
        <v>2</v>
      </c>
      <c r="M15" s="129">
        <v>4</v>
      </c>
      <c r="N15" s="129">
        <v>3</v>
      </c>
      <c r="O15" s="129">
        <v>2</v>
      </c>
      <c r="P15" s="129">
        <v>1</v>
      </c>
      <c r="Q15" s="129">
        <v>3</v>
      </c>
      <c r="R15" s="130">
        <f>AVERAGE(C15:Q15)</f>
        <v>2.8666666666666667</v>
      </c>
      <c r="S15" s="131">
        <f t="shared" si="0"/>
        <v>17.768595041322317</v>
      </c>
    </row>
    <row r="16" spans="1:32" x14ac:dyDescent="0.25">
      <c r="A16" s="334" t="s">
        <v>8</v>
      </c>
      <c r="B16" s="335"/>
      <c r="C16" s="132"/>
      <c r="D16" s="132"/>
      <c r="E16" s="132"/>
      <c r="F16" s="132"/>
      <c r="G16" s="132"/>
      <c r="H16" s="132"/>
      <c r="I16" s="132"/>
      <c r="J16" s="132"/>
      <c r="K16" s="132"/>
      <c r="L16" s="132"/>
      <c r="M16" s="132"/>
      <c r="N16" s="132"/>
      <c r="O16" s="132"/>
      <c r="P16" s="132"/>
      <c r="Q16" s="132"/>
      <c r="R16" s="133"/>
      <c r="S16" s="121"/>
    </row>
    <row r="17" spans="1:19" x14ac:dyDescent="0.25">
      <c r="A17" s="122"/>
      <c r="B17" s="123" t="s">
        <v>9</v>
      </c>
      <c r="C17" s="124">
        <v>5</v>
      </c>
      <c r="D17" s="124">
        <v>5</v>
      </c>
      <c r="E17" s="124">
        <v>4</v>
      </c>
      <c r="F17" s="124">
        <v>5</v>
      </c>
      <c r="G17" s="124">
        <v>4</v>
      </c>
      <c r="H17" s="124">
        <v>4</v>
      </c>
      <c r="I17" s="124">
        <v>5</v>
      </c>
      <c r="J17" s="124">
        <v>4</v>
      </c>
      <c r="K17" s="124">
        <v>4</v>
      </c>
      <c r="L17" s="124">
        <v>4</v>
      </c>
      <c r="M17" s="124">
        <v>5</v>
      </c>
      <c r="N17" s="124">
        <v>5</v>
      </c>
      <c r="O17" s="124">
        <v>4</v>
      </c>
      <c r="P17" s="124">
        <v>4</v>
      </c>
      <c r="Q17" s="124">
        <v>5</v>
      </c>
      <c r="R17" s="125">
        <f>AVERAGE(C17:Q17)</f>
        <v>4.4666666666666668</v>
      </c>
      <c r="S17" s="126">
        <f>((R17/SUM($R$17:$R$18))*100)</f>
        <v>52.755905511811029</v>
      </c>
    </row>
    <row r="18" spans="1:19" x14ac:dyDescent="0.25">
      <c r="A18" s="127"/>
      <c r="B18" s="128" t="s">
        <v>10</v>
      </c>
      <c r="C18" s="129">
        <v>5</v>
      </c>
      <c r="D18" s="129">
        <v>5</v>
      </c>
      <c r="E18" s="129">
        <v>4</v>
      </c>
      <c r="F18" s="129">
        <v>4</v>
      </c>
      <c r="G18" s="129">
        <v>5</v>
      </c>
      <c r="H18" s="129">
        <v>4</v>
      </c>
      <c r="I18" s="129">
        <v>4</v>
      </c>
      <c r="J18" s="129">
        <v>4</v>
      </c>
      <c r="K18" s="129">
        <v>3</v>
      </c>
      <c r="L18" s="129">
        <v>4</v>
      </c>
      <c r="M18" s="129">
        <v>4</v>
      </c>
      <c r="N18" s="129">
        <v>4</v>
      </c>
      <c r="O18" s="129">
        <v>3</v>
      </c>
      <c r="P18" s="129">
        <v>3</v>
      </c>
      <c r="Q18" s="129">
        <v>4</v>
      </c>
      <c r="R18" s="130">
        <f>AVERAGE(C18:Q18)</f>
        <v>4</v>
      </c>
      <c r="S18" s="131">
        <f>((R18/SUM($R$17:$R$18))*100)</f>
        <v>47.244094488188978</v>
      </c>
    </row>
    <row r="19" spans="1:19" x14ac:dyDescent="0.25">
      <c r="A19" s="334" t="s">
        <v>11</v>
      </c>
      <c r="B19" s="335"/>
      <c r="C19" s="132"/>
      <c r="D19" s="132"/>
      <c r="E19" s="132"/>
      <c r="F19" s="132"/>
      <c r="G19" s="132"/>
      <c r="H19" s="132"/>
      <c r="I19" s="132"/>
      <c r="J19" s="132"/>
      <c r="K19" s="132"/>
      <c r="L19" s="132"/>
      <c r="M19" s="132"/>
      <c r="N19" s="132"/>
      <c r="O19" s="132"/>
      <c r="P19" s="132"/>
      <c r="Q19" s="132"/>
      <c r="R19" s="133"/>
      <c r="S19" s="121"/>
    </row>
    <row r="20" spans="1:19" x14ac:dyDescent="0.25">
      <c r="A20" s="122"/>
      <c r="B20" s="123" t="s">
        <v>182</v>
      </c>
      <c r="C20" s="124">
        <v>4</v>
      </c>
      <c r="D20" s="124">
        <v>4</v>
      </c>
      <c r="E20" s="124">
        <v>3</v>
      </c>
      <c r="F20" s="124">
        <v>4</v>
      </c>
      <c r="G20" s="124">
        <v>3</v>
      </c>
      <c r="H20" s="124">
        <v>5</v>
      </c>
      <c r="I20" s="124">
        <v>3</v>
      </c>
      <c r="J20" s="124">
        <v>5</v>
      </c>
      <c r="K20" s="124">
        <v>4</v>
      </c>
      <c r="L20" s="124">
        <v>5</v>
      </c>
      <c r="M20" s="124">
        <v>4</v>
      </c>
      <c r="N20" s="124">
        <v>4</v>
      </c>
      <c r="O20" s="124">
        <v>4</v>
      </c>
      <c r="P20" s="124">
        <v>5</v>
      </c>
      <c r="Q20" s="124">
        <v>3</v>
      </c>
      <c r="R20" s="125">
        <f>AVERAGE(C20:Q20)</f>
        <v>4</v>
      </c>
      <c r="S20" s="126">
        <f>((R20/SUM($R$20:$R$21))*100)</f>
        <v>49.180327868852466</v>
      </c>
    </row>
    <row r="21" spans="1:19" x14ac:dyDescent="0.25">
      <c r="A21" s="122"/>
      <c r="B21" s="123" t="s">
        <v>183</v>
      </c>
      <c r="C21" s="124">
        <v>5</v>
      </c>
      <c r="D21" s="124">
        <v>5</v>
      </c>
      <c r="E21" s="124">
        <v>4</v>
      </c>
      <c r="F21" s="124">
        <v>4</v>
      </c>
      <c r="G21" s="124">
        <v>4</v>
      </c>
      <c r="H21" s="124">
        <v>4</v>
      </c>
      <c r="I21" s="124">
        <v>5</v>
      </c>
      <c r="J21" s="124">
        <v>3</v>
      </c>
      <c r="K21" s="124">
        <v>5</v>
      </c>
      <c r="L21" s="124">
        <v>4</v>
      </c>
      <c r="M21" s="124">
        <v>5</v>
      </c>
      <c r="N21" s="124">
        <v>4</v>
      </c>
      <c r="O21" s="124">
        <v>3</v>
      </c>
      <c r="P21" s="124">
        <v>4</v>
      </c>
      <c r="Q21" s="124">
        <v>3</v>
      </c>
      <c r="R21" s="125">
        <f>AVERAGE(C21:Q21)</f>
        <v>4.1333333333333337</v>
      </c>
      <c r="S21" s="131">
        <f>((R21/SUM($R$20:$R$21))*100)</f>
        <v>50.819672131147556</v>
      </c>
    </row>
    <row r="22" spans="1:19" x14ac:dyDescent="0.25">
      <c r="A22" s="334" t="s">
        <v>13</v>
      </c>
      <c r="B22" s="335"/>
      <c r="C22" s="132"/>
      <c r="D22" s="132"/>
      <c r="E22" s="132"/>
      <c r="F22" s="132"/>
      <c r="G22" s="132"/>
      <c r="H22" s="132"/>
      <c r="I22" s="132"/>
      <c r="J22" s="132"/>
      <c r="K22" s="132"/>
      <c r="L22" s="132"/>
      <c r="M22" s="132"/>
      <c r="N22" s="132"/>
      <c r="O22" s="132"/>
      <c r="P22" s="132"/>
      <c r="Q22" s="132"/>
      <c r="R22" s="133"/>
      <c r="S22" s="121"/>
    </row>
    <row r="23" spans="1:19" x14ac:dyDescent="0.25">
      <c r="A23" s="122"/>
      <c r="B23" s="123" t="s">
        <v>14</v>
      </c>
      <c r="C23" s="124">
        <v>4</v>
      </c>
      <c r="D23" s="124">
        <v>4</v>
      </c>
      <c r="E23" s="124">
        <v>4</v>
      </c>
      <c r="F23" s="124">
        <v>4</v>
      </c>
      <c r="G23" s="124">
        <v>4</v>
      </c>
      <c r="H23" s="124">
        <v>4</v>
      </c>
      <c r="I23" s="124">
        <v>4</v>
      </c>
      <c r="J23" s="124">
        <v>5</v>
      </c>
      <c r="K23" s="124">
        <v>3</v>
      </c>
      <c r="L23" s="124">
        <v>5</v>
      </c>
      <c r="M23" s="124">
        <v>5</v>
      </c>
      <c r="N23" s="124">
        <v>5</v>
      </c>
      <c r="O23" s="124">
        <v>4</v>
      </c>
      <c r="P23" s="124">
        <v>5</v>
      </c>
      <c r="Q23" s="124">
        <v>4</v>
      </c>
      <c r="R23" s="125">
        <f>AVERAGE(C23:Q23)</f>
        <v>4.2666666666666666</v>
      </c>
      <c r="S23" s="126">
        <f>((R23/SUM($R$23:$R$25))*100)</f>
        <v>37.209302325581397</v>
      </c>
    </row>
    <row r="24" spans="1:19" x14ac:dyDescent="0.25">
      <c r="A24" s="122"/>
      <c r="B24" s="123" t="s">
        <v>184</v>
      </c>
      <c r="C24" s="124">
        <v>3</v>
      </c>
      <c r="D24" s="124">
        <v>3</v>
      </c>
      <c r="E24" s="124">
        <v>3</v>
      </c>
      <c r="F24" s="124">
        <v>4</v>
      </c>
      <c r="G24" s="124">
        <v>4</v>
      </c>
      <c r="H24" s="124">
        <v>4</v>
      </c>
      <c r="I24" s="124">
        <v>3</v>
      </c>
      <c r="J24" s="124">
        <v>4</v>
      </c>
      <c r="K24" s="124">
        <v>4</v>
      </c>
      <c r="L24" s="124">
        <v>4</v>
      </c>
      <c r="M24" s="124">
        <v>3</v>
      </c>
      <c r="N24" s="124">
        <v>3</v>
      </c>
      <c r="O24" s="124">
        <v>3</v>
      </c>
      <c r="P24" s="124">
        <v>3</v>
      </c>
      <c r="Q24" s="124">
        <v>5</v>
      </c>
      <c r="R24" s="125">
        <f>AVERAGE(C24:Q24)</f>
        <v>3.5333333333333332</v>
      </c>
      <c r="S24" s="126">
        <f t="shared" ref="S24:S25" si="1">((R24/SUM($R$23:$R$25))*100)</f>
        <v>30.813953488372093</v>
      </c>
    </row>
    <row r="25" spans="1:19" x14ac:dyDescent="0.25">
      <c r="A25" s="127"/>
      <c r="B25" s="128" t="s">
        <v>185</v>
      </c>
      <c r="C25" s="129">
        <v>5</v>
      </c>
      <c r="D25" s="129">
        <v>5</v>
      </c>
      <c r="E25" s="129">
        <v>5</v>
      </c>
      <c r="F25" s="129">
        <v>3</v>
      </c>
      <c r="G25" s="129">
        <v>3</v>
      </c>
      <c r="H25" s="129">
        <v>4</v>
      </c>
      <c r="I25" s="129">
        <v>3</v>
      </c>
      <c r="J25" s="129">
        <v>5</v>
      </c>
      <c r="K25" s="129">
        <v>2</v>
      </c>
      <c r="L25" s="129">
        <v>5</v>
      </c>
      <c r="M25" s="129">
        <v>4</v>
      </c>
      <c r="N25" s="129">
        <v>3</v>
      </c>
      <c r="O25" s="129">
        <v>2</v>
      </c>
      <c r="P25" s="129">
        <v>3</v>
      </c>
      <c r="Q25" s="129">
        <v>3</v>
      </c>
      <c r="R25" s="130">
        <f>AVERAGE(C25:Q25)</f>
        <v>3.6666666666666665</v>
      </c>
      <c r="S25" s="131">
        <f t="shared" si="1"/>
        <v>31.976744186046506</v>
      </c>
    </row>
    <row r="26" spans="1:19" x14ac:dyDescent="0.25">
      <c r="A26" s="332" t="s">
        <v>186</v>
      </c>
      <c r="B26" s="333"/>
      <c r="C26" s="134"/>
      <c r="D26" s="134"/>
      <c r="E26" s="134"/>
      <c r="F26" s="134"/>
      <c r="G26" s="134"/>
      <c r="H26" s="134"/>
      <c r="I26" s="134"/>
      <c r="J26" s="134"/>
      <c r="K26" s="134"/>
      <c r="L26" s="134"/>
      <c r="M26" s="134"/>
      <c r="N26" s="134"/>
      <c r="O26" s="134"/>
      <c r="P26" s="134"/>
      <c r="Q26" s="134"/>
      <c r="R26" s="135"/>
      <c r="S26" s="121"/>
    </row>
    <row r="27" spans="1:19" ht="15.75" thickBot="1" x14ac:dyDescent="0.3">
      <c r="A27" s="136"/>
      <c r="B27" s="137" t="s">
        <v>187</v>
      </c>
      <c r="C27" s="138">
        <v>5</v>
      </c>
      <c r="D27" s="138">
        <v>5</v>
      </c>
      <c r="E27" s="138">
        <v>4</v>
      </c>
      <c r="F27" s="138">
        <v>5</v>
      </c>
      <c r="G27" s="138">
        <v>5</v>
      </c>
      <c r="H27" s="138">
        <v>4</v>
      </c>
      <c r="I27" s="138">
        <v>5</v>
      </c>
      <c r="J27" s="138">
        <v>4</v>
      </c>
      <c r="K27" s="138">
        <v>5</v>
      </c>
      <c r="L27" s="138">
        <v>4</v>
      </c>
      <c r="M27" s="138">
        <v>5</v>
      </c>
      <c r="N27" s="138">
        <v>4</v>
      </c>
      <c r="O27" s="138">
        <v>2</v>
      </c>
      <c r="P27" s="138">
        <v>3</v>
      </c>
      <c r="Q27" s="138">
        <v>3</v>
      </c>
      <c r="R27" s="139">
        <f>AVERAGE(C27:Q27)</f>
        <v>4.2</v>
      </c>
      <c r="S27" s="140">
        <f>((R27/SUM(R27))*100)</f>
        <v>100</v>
      </c>
    </row>
    <row r="28" spans="1:19" ht="15.75" thickTop="1" x14ac:dyDescent="0.25"/>
    <row r="34" spans="1:32" x14ac:dyDescent="0.25">
      <c r="Q34" s="113" t="s">
        <v>168</v>
      </c>
    </row>
    <row r="35" spans="1:32" x14ac:dyDescent="0.25">
      <c r="A35" s="328" t="s">
        <v>62</v>
      </c>
      <c r="B35" s="328"/>
      <c r="C35" s="328"/>
      <c r="D35" s="328"/>
      <c r="E35" s="328"/>
      <c r="F35" s="328"/>
      <c r="G35" s="328"/>
      <c r="H35" s="328"/>
      <c r="I35" s="328"/>
      <c r="J35" s="328"/>
      <c r="K35" s="328"/>
      <c r="L35" s="328"/>
      <c r="M35" s="328"/>
      <c r="N35" s="328"/>
      <c r="O35" s="328"/>
      <c r="P35" s="328"/>
      <c r="Q35" s="328"/>
      <c r="R35" s="328"/>
      <c r="S35" s="328"/>
      <c r="T35" s="114"/>
      <c r="U35" s="114"/>
      <c r="V35" s="114"/>
      <c r="W35" s="114"/>
      <c r="X35" s="114"/>
      <c r="Y35" s="114"/>
      <c r="Z35" s="114"/>
      <c r="AA35" s="114"/>
      <c r="AB35" s="114"/>
      <c r="AC35" s="114"/>
      <c r="AD35" s="114"/>
      <c r="AE35" s="114"/>
      <c r="AF35" s="114"/>
    </row>
    <row r="36" spans="1:32" ht="15" customHeight="1" x14ac:dyDescent="0.25">
      <c r="A36" s="329" t="s">
        <v>63</v>
      </c>
      <c r="B36" s="329"/>
      <c r="C36" s="329"/>
      <c r="D36" s="329"/>
      <c r="E36" s="329"/>
      <c r="F36" s="329"/>
      <c r="G36" s="329"/>
      <c r="H36" s="329"/>
      <c r="I36" s="329"/>
      <c r="J36" s="329"/>
      <c r="K36" s="329"/>
      <c r="L36" s="329"/>
      <c r="M36" s="329"/>
      <c r="N36" s="329"/>
      <c r="O36" s="329"/>
      <c r="P36" s="329"/>
      <c r="Q36" s="329"/>
      <c r="R36" s="329"/>
      <c r="S36" s="329"/>
      <c r="T36" s="115"/>
      <c r="U36" s="115"/>
      <c r="V36" s="115"/>
      <c r="W36" s="115"/>
      <c r="X36" s="115"/>
      <c r="Y36" s="115"/>
      <c r="Z36" s="115"/>
      <c r="AA36" s="115"/>
      <c r="AB36" s="115"/>
      <c r="AC36" s="115"/>
      <c r="AD36" s="115"/>
      <c r="AE36" s="115"/>
      <c r="AF36" s="115"/>
    </row>
    <row r="37" spans="1:32" x14ac:dyDescent="0.25">
      <c r="A37" s="330" t="s">
        <v>64</v>
      </c>
      <c r="B37" s="330"/>
      <c r="C37" s="330"/>
      <c r="D37" s="330"/>
      <c r="E37" s="330"/>
      <c r="F37" s="330"/>
      <c r="G37" s="330"/>
      <c r="H37" s="330"/>
      <c r="I37" s="330"/>
      <c r="J37" s="330"/>
      <c r="K37" s="330"/>
      <c r="L37" s="330"/>
      <c r="M37" s="330"/>
      <c r="N37" s="330"/>
      <c r="O37" s="330"/>
      <c r="P37" s="330"/>
      <c r="Q37" s="330"/>
      <c r="R37" s="330"/>
      <c r="S37" s="330"/>
      <c r="T37" s="116"/>
      <c r="U37" s="116"/>
      <c r="V37" s="116"/>
      <c r="W37" s="116"/>
      <c r="X37" s="116"/>
      <c r="Y37" s="116"/>
      <c r="Z37" s="116"/>
      <c r="AA37" s="116"/>
      <c r="AB37" s="116"/>
      <c r="AC37" s="116"/>
      <c r="AD37" s="116"/>
      <c r="AE37" s="116"/>
      <c r="AF37" s="116"/>
    </row>
    <row r="38" spans="1:32" ht="15.75" thickBot="1" x14ac:dyDescent="0.3">
      <c r="A38" s="331"/>
      <c r="B38" s="331"/>
      <c r="C38" s="331"/>
      <c r="D38" s="331"/>
      <c r="E38" s="331"/>
      <c r="F38" s="331"/>
      <c r="G38" s="331"/>
      <c r="H38" s="331"/>
      <c r="I38" s="331"/>
      <c r="J38" s="331"/>
      <c r="K38" s="331"/>
      <c r="L38" s="331"/>
      <c r="M38" s="331"/>
      <c r="N38" s="331"/>
      <c r="O38" s="331"/>
      <c r="P38" s="331"/>
      <c r="Q38" s="331"/>
      <c r="R38" s="331"/>
      <c r="S38" s="331"/>
      <c r="T38" s="116"/>
      <c r="U38" s="116"/>
      <c r="V38" s="116"/>
      <c r="W38" s="116"/>
      <c r="X38" s="116"/>
      <c r="Y38" s="116"/>
      <c r="Z38" s="116"/>
      <c r="AA38" s="116"/>
      <c r="AB38" s="116"/>
      <c r="AC38" s="116"/>
      <c r="AD38" s="116"/>
      <c r="AE38" s="116"/>
      <c r="AF38" s="116"/>
    </row>
    <row r="39" spans="1:32" ht="15.75" thickTop="1" x14ac:dyDescent="0.25">
      <c r="A39" s="324" t="s">
        <v>130</v>
      </c>
      <c r="B39" s="324"/>
      <c r="C39" s="324"/>
      <c r="D39" s="324"/>
      <c r="E39" s="324"/>
      <c r="F39" s="324"/>
      <c r="G39" s="324"/>
      <c r="H39" s="324"/>
      <c r="I39" s="324"/>
      <c r="J39" s="324"/>
      <c r="K39" s="324"/>
      <c r="L39" s="324"/>
      <c r="M39" s="324"/>
      <c r="N39" s="324"/>
      <c r="O39" s="324"/>
      <c r="P39" s="324"/>
      <c r="Q39" s="324"/>
      <c r="R39" s="324"/>
      <c r="S39" s="324"/>
      <c r="T39" s="116"/>
      <c r="U39" s="116"/>
      <c r="V39" s="116"/>
      <c r="W39" s="116"/>
      <c r="X39" s="116"/>
      <c r="Y39" s="116"/>
      <c r="Z39" s="116"/>
      <c r="AA39" s="116"/>
      <c r="AB39" s="116"/>
      <c r="AC39" s="116"/>
      <c r="AD39" s="116"/>
      <c r="AE39" s="116"/>
      <c r="AF39" s="116"/>
    </row>
    <row r="40" spans="1:32" x14ac:dyDescent="0.25">
      <c r="A40" s="325"/>
      <c r="B40" s="325"/>
      <c r="C40" s="325"/>
      <c r="D40" s="325"/>
      <c r="E40" s="325"/>
      <c r="F40" s="325"/>
      <c r="G40" s="325"/>
      <c r="H40" s="325"/>
      <c r="I40" s="325"/>
      <c r="J40" s="325"/>
      <c r="K40" s="325"/>
      <c r="L40" s="325"/>
      <c r="M40" s="325"/>
      <c r="N40" s="325"/>
      <c r="O40" s="325"/>
      <c r="P40" s="325"/>
      <c r="Q40" s="325"/>
      <c r="R40" s="325"/>
      <c r="S40" s="325"/>
    </row>
    <row r="42" spans="1:32" x14ac:dyDescent="0.25">
      <c r="A42" s="112">
        <v>1</v>
      </c>
      <c r="B42" s="112" t="s">
        <v>246</v>
      </c>
      <c r="C42" s="112" t="s">
        <v>131</v>
      </c>
      <c r="L42" s="112" t="s">
        <v>189</v>
      </c>
    </row>
    <row r="43" spans="1:32" x14ac:dyDescent="0.25">
      <c r="A43" s="112">
        <v>2</v>
      </c>
      <c r="B43" s="112" t="s">
        <v>115</v>
      </c>
      <c r="C43" s="112" t="s">
        <v>132</v>
      </c>
      <c r="L43" s="112" t="s">
        <v>189</v>
      </c>
    </row>
    <row r="44" spans="1:32" x14ac:dyDescent="0.25">
      <c r="A44" s="112">
        <v>3</v>
      </c>
      <c r="B44" s="112" t="s">
        <v>116</v>
      </c>
      <c r="C44" s="112" t="s">
        <v>133</v>
      </c>
      <c r="L44" s="112" t="s">
        <v>189</v>
      </c>
    </row>
    <row r="45" spans="1:32" x14ac:dyDescent="0.25">
      <c r="A45" s="112">
        <v>4</v>
      </c>
      <c r="B45" s="112" t="s">
        <v>118</v>
      </c>
      <c r="C45" s="112" t="s">
        <v>134</v>
      </c>
      <c r="L45" s="112" t="s">
        <v>189</v>
      </c>
    </row>
    <row r="46" spans="1:32" x14ac:dyDescent="0.25">
      <c r="A46" s="112">
        <v>5</v>
      </c>
      <c r="B46" s="112" t="s">
        <v>117</v>
      </c>
      <c r="C46" s="112" t="s">
        <v>134</v>
      </c>
      <c r="L46" s="112" t="s">
        <v>189</v>
      </c>
    </row>
    <row r="47" spans="1:32" x14ac:dyDescent="0.25">
      <c r="A47" s="112">
        <v>6</v>
      </c>
      <c r="B47" s="112" t="s">
        <v>119</v>
      </c>
      <c r="C47" s="112" t="s">
        <v>135</v>
      </c>
      <c r="L47" s="112" t="s">
        <v>189</v>
      </c>
    </row>
    <row r="48" spans="1:32" x14ac:dyDescent="0.25">
      <c r="A48" s="112">
        <v>7</v>
      </c>
      <c r="B48" s="112" t="s">
        <v>120</v>
      </c>
      <c r="C48" s="112" t="s">
        <v>134</v>
      </c>
      <c r="L48" s="112" t="s">
        <v>189</v>
      </c>
    </row>
    <row r="49" spans="1:12" x14ac:dyDescent="0.25">
      <c r="A49" s="112">
        <v>8</v>
      </c>
      <c r="B49" s="112" t="s">
        <v>121</v>
      </c>
      <c r="C49" s="112" t="s">
        <v>136</v>
      </c>
      <c r="L49" s="112" t="s">
        <v>190</v>
      </c>
    </row>
    <row r="50" spans="1:12" x14ac:dyDescent="0.25">
      <c r="A50" s="112">
        <v>9</v>
      </c>
      <c r="B50" s="112" t="s">
        <v>122</v>
      </c>
      <c r="C50" s="112" t="s">
        <v>137</v>
      </c>
      <c r="L50" s="112" t="s">
        <v>289</v>
      </c>
    </row>
    <row r="51" spans="1:12" x14ac:dyDescent="0.25">
      <c r="A51" s="112">
        <v>10</v>
      </c>
      <c r="B51" s="112" t="s">
        <v>123</v>
      </c>
      <c r="C51" s="112" t="s">
        <v>136</v>
      </c>
      <c r="L51" s="112" t="s">
        <v>190</v>
      </c>
    </row>
    <row r="52" spans="1:12" x14ac:dyDescent="0.25">
      <c r="A52" s="112">
        <v>11</v>
      </c>
      <c r="B52" s="112" t="s">
        <v>124</v>
      </c>
      <c r="C52" s="112" t="s">
        <v>138</v>
      </c>
      <c r="L52" s="112" t="s">
        <v>189</v>
      </c>
    </row>
    <row r="53" spans="1:12" x14ac:dyDescent="0.25">
      <c r="A53" s="112">
        <v>12</v>
      </c>
      <c r="B53" s="112" t="s">
        <v>125</v>
      </c>
      <c r="C53" s="112" t="s">
        <v>241</v>
      </c>
      <c r="L53" s="112" t="s">
        <v>189</v>
      </c>
    </row>
    <row r="54" spans="1:12" x14ac:dyDescent="0.25">
      <c r="A54" s="112">
        <v>13</v>
      </c>
      <c r="B54" s="112" t="s">
        <v>128</v>
      </c>
      <c r="C54" s="112" t="s">
        <v>126</v>
      </c>
      <c r="L54" s="112" t="s">
        <v>289</v>
      </c>
    </row>
    <row r="55" spans="1:12" x14ac:dyDescent="0.25">
      <c r="A55" s="112">
        <v>14</v>
      </c>
      <c r="B55" s="112" t="s">
        <v>127</v>
      </c>
      <c r="C55" s="112" t="s">
        <v>126</v>
      </c>
      <c r="L55" s="112" t="s">
        <v>289</v>
      </c>
    </row>
    <row r="56" spans="1:12" x14ac:dyDescent="0.25">
      <c r="A56" s="112">
        <v>15</v>
      </c>
      <c r="B56" s="112" t="s">
        <v>129</v>
      </c>
      <c r="C56" s="112" t="s">
        <v>188</v>
      </c>
      <c r="L56" s="112" t="s">
        <v>189</v>
      </c>
    </row>
  </sheetData>
  <mergeCells count="19">
    <mergeCell ref="A2:S2"/>
    <mergeCell ref="A3:S3"/>
    <mergeCell ref="A4:S4"/>
    <mergeCell ref="A5:S5"/>
    <mergeCell ref="S9:S10"/>
    <mergeCell ref="R9:R10"/>
    <mergeCell ref="A9:B10"/>
    <mergeCell ref="C9:Q9"/>
    <mergeCell ref="A39:S40"/>
    <mergeCell ref="A6:S7"/>
    <mergeCell ref="A35:S35"/>
    <mergeCell ref="A36:S36"/>
    <mergeCell ref="A37:S37"/>
    <mergeCell ref="A38:S38"/>
    <mergeCell ref="A26:B26"/>
    <mergeCell ref="A19:B19"/>
    <mergeCell ref="A22:B22"/>
    <mergeCell ref="A11:B11"/>
    <mergeCell ref="A16:B16"/>
  </mergeCells>
  <printOptions horizontalCentered="1"/>
  <pageMargins left="0.59055118110236227" right="0.59055118110236227" top="0.78740157480314965" bottom="0.78740157480314965" header="0.31496062992125984" footer="0.31496062992125984"/>
  <pageSetup paperSize="9" orientation="landscape"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1:DA215"/>
  <sheetViews>
    <sheetView showGridLines="0" view="pageBreakPreview" topLeftCell="BF196" zoomScale="85" zoomScaleNormal="85" zoomScaleSheetLayoutView="85" zoomScalePageLayoutView="85" workbookViewId="0">
      <selection activeCell="BM130" sqref="BM130"/>
    </sheetView>
  </sheetViews>
  <sheetFormatPr defaultRowHeight="15" x14ac:dyDescent="0.25"/>
  <cols>
    <col min="1" max="1" width="4.7109375" style="112" customWidth="1"/>
    <col min="2" max="2" width="4.5703125" style="112" customWidth="1"/>
    <col min="3" max="3" width="29.5703125" style="112" customWidth="1"/>
    <col min="4" max="4" width="9" style="112" customWidth="1"/>
    <col min="5" max="5" width="5.42578125" style="112" customWidth="1"/>
    <col min="6" max="19" width="4.7109375" style="112" customWidth="1"/>
    <col min="20" max="20" width="9.28515625" style="112" bestFit="1" customWidth="1"/>
    <col min="21" max="21" width="4.7109375" style="112" customWidth="1"/>
    <col min="22" max="22" width="5.7109375" style="112" customWidth="1"/>
    <col min="23" max="24" width="9.140625" style="112"/>
    <col min="25" max="29" width="9.28515625" style="112" bestFit="1" customWidth="1"/>
    <col min="30" max="30" width="3.5703125" style="112" customWidth="1"/>
    <col min="31" max="31" width="9.28515625" style="112" bestFit="1" customWidth="1"/>
    <col min="32" max="32" width="3.5703125" style="112" customWidth="1"/>
    <col min="33" max="33" width="9.28515625" style="112" bestFit="1" customWidth="1"/>
    <col min="34" max="34" width="3.5703125" style="112" customWidth="1"/>
    <col min="35" max="35" width="9.28515625" style="112" bestFit="1" customWidth="1"/>
    <col min="36" max="36" width="3.5703125" style="141" customWidth="1"/>
    <col min="37" max="37" width="9.85546875" style="112" bestFit="1" customWidth="1"/>
    <col min="38" max="38" width="9.28515625" style="112" bestFit="1" customWidth="1"/>
    <col min="39" max="39" width="5.7109375" style="112" customWidth="1"/>
    <col min="40" max="40" width="9.140625" style="112"/>
    <col min="41" max="41" width="1.5703125" style="112" customWidth="1"/>
    <col min="42" max="42" width="6.28515625" style="112" customWidth="1"/>
    <col min="43" max="72" width="4.28515625" style="112" customWidth="1"/>
    <col min="73" max="73" width="1.140625" style="112" customWidth="1"/>
    <col min="74" max="74" width="12.5703125" style="112" customWidth="1"/>
    <col min="75" max="80" width="10.28515625" style="112" customWidth="1"/>
    <col min="81" max="84" width="12" style="112" customWidth="1"/>
    <col min="85" max="85" width="3.7109375" style="112" customWidth="1"/>
    <col min="86" max="86" width="8.42578125" style="112" customWidth="1"/>
    <col min="87" max="87" width="1.42578125" style="112" customWidth="1"/>
    <col min="88" max="89" width="9.140625" style="112"/>
    <col min="90" max="99" width="9.28515625" style="112" bestFit="1" customWidth="1"/>
    <col min="100" max="100" width="9.140625" style="112"/>
    <col min="101" max="101" width="9.28515625" style="112" bestFit="1" customWidth="1"/>
    <col min="102" max="16384" width="9.140625" style="112"/>
  </cols>
  <sheetData>
    <row r="1" spans="2:40" x14ac:dyDescent="0.25">
      <c r="B1" s="358" t="s">
        <v>62</v>
      </c>
      <c r="C1" s="358"/>
      <c r="D1" s="358"/>
      <c r="E1" s="358"/>
      <c r="F1" s="358"/>
      <c r="G1" s="358"/>
      <c r="H1" s="358"/>
      <c r="I1" s="358"/>
      <c r="J1" s="358"/>
      <c r="K1" s="358"/>
      <c r="L1" s="358"/>
      <c r="M1" s="358"/>
      <c r="N1" s="358"/>
      <c r="O1" s="358"/>
      <c r="P1" s="358"/>
      <c r="Q1" s="358"/>
      <c r="R1" s="358"/>
      <c r="S1" s="358"/>
      <c r="T1" s="358"/>
      <c r="W1" s="358" t="s">
        <v>62</v>
      </c>
      <c r="X1" s="358"/>
      <c r="Y1" s="358"/>
      <c r="Z1" s="358"/>
      <c r="AA1" s="358"/>
      <c r="AB1" s="358"/>
      <c r="AC1" s="358"/>
      <c r="AD1" s="358"/>
      <c r="AE1" s="358"/>
      <c r="AF1" s="358"/>
      <c r="AG1" s="358"/>
      <c r="AH1" s="358"/>
      <c r="AI1" s="358"/>
      <c r="AJ1" s="358"/>
      <c r="AK1" s="358"/>
      <c r="AL1" s="358"/>
      <c r="AM1" s="114"/>
      <c r="AN1" s="114"/>
    </row>
    <row r="2" spans="2:40" ht="15" customHeight="1" x14ac:dyDescent="0.25">
      <c r="B2" s="359" t="s">
        <v>63</v>
      </c>
      <c r="C2" s="359"/>
      <c r="D2" s="359"/>
      <c r="E2" s="359"/>
      <c r="F2" s="359"/>
      <c r="G2" s="359"/>
      <c r="H2" s="359"/>
      <c r="I2" s="359"/>
      <c r="J2" s="359"/>
      <c r="K2" s="359"/>
      <c r="L2" s="359"/>
      <c r="M2" s="359"/>
      <c r="N2" s="359"/>
      <c r="O2" s="359"/>
      <c r="P2" s="359"/>
      <c r="Q2" s="359"/>
      <c r="R2" s="359"/>
      <c r="S2" s="359"/>
      <c r="T2" s="359"/>
      <c r="W2" s="359" t="s">
        <v>63</v>
      </c>
      <c r="X2" s="359"/>
      <c r="Y2" s="359"/>
      <c r="Z2" s="359"/>
      <c r="AA2" s="359"/>
      <c r="AB2" s="359"/>
      <c r="AC2" s="359"/>
      <c r="AD2" s="359"/>
      <c r="AE2" s="359"/>
      <c r="AF2" s="359"/>
      <c r="AG2" s="359"/>
      <c r="AH2" s="359"/>
      <c r="AI2" s="359"/>
      <c r="AJ2" s="359"/>
      <c r="AK2" s="359"/>
      <c r="AL2" s="359"/>
      <c r="AM2" s="115"/>
      <c r="AN2" s="115"/>
    </row>
    <row r="3" spans="2:40" ht="15.75" thickBot="1" x14ac:dyDescent="0.3">
      <c r="B3" s="361" t="s">
        <v>64</v>
      </c>
      <c r="C3" s="361"/>
      <c r="D3" s="361"/>
      <c r="E3" s="361"/>
      <c r="F3" s="361"/>
      <c r="G3" s="361"/>
      <c r="H3" s="361"/>
      <c r="I3" s="361"/>
      <c r="J3" s="361"/>
      <c r="K3" s="361"/>
      <c r="L3" s="361"/>
      <c r="M3" s="361"/>
      <c r="N3" s="361"/>
      <c r="O3" s="361"/>
      <c r="P3" s="361"/>
      <c r="Q3" s="361"/>
      <c r="R3" s="361"/>
      <c r="S3" s="361"/>
      <c r="T3" s="361"/>
      <c r="W3" s="361" t="s">
        <v>64</v>
      </c>
      <c r="X3" s="361"/>
      <c r="Y3" s="361"/>
      <c r="Z3" s="361"/>
      <c r="AA3" s="361"/>
      <c r="AB3" s="361"/>
      <c r="AC3" s="361"/>
      <c r="AD3" s="361"/>
      <c r="AE3" s="361"/>
      <c r="AF3" s="361"/>
      <c r="AG3" s="361"/>
      <c r="AH3" s="361"/>
      <c r="AI3" s="361"/>
      <c r="AJ3" s="361"/>
      <c r="AK3" s="361"/>
      <c r="AL3" s="361"/>
      <c r="AM3" s="116"/>
      <c r="AN3" s="116"/>
    </row>
    <row r="4" spans="2:40" ht="18.75" thickTop="1" x14ac:dyDescent="0.25">
      <c r="B4" s="363" t="s">
        <v>0</v>
      </c>
      <c r="C4" s="363"/>
      <c r="D4" s="363"/>
      <c r="E4" s="363"/>
      <c r="F4" s="363"/>
      <c r="G4" s="363"/>
      <c r="H4" s="363"/>
      <c r="I4" s="363"/>
      <c r="J4" s="363"/>
      <c r="K4" s="363"/>
      <c r="L4" s="363"/>
      <c r="M4" s="363"/>
      <c r="N4" s="363"/>
      <c r="O4" s="363"/>
      <c r="P4" s="363"/>
      <c r="Q4" s="363"/>
      <c r="R4" s="363"/>
      <c r="S4" s="363"/>
      <c r="T4" s="363"/>
      <c r="AM4" s="116"/>
      <c r="AN4" s="116"/>
    </row>
    <row r="5" spans="2:40" ht="15.75" thickBot="1" x14ac:dyDescent="0.3">
      <c r="W5" s="113" t="s">
        <v>27</v>
      </c>
      <c r="Z5" s="113" t="s">
        <v>51</v>
      </c>
      <c r="AL5" s="142"/>
      <c r="AM5" s="116"/>
      <c r="AN5" s="116"/>
    </row>
    <row r="6" spans="2:40" ht="15.75" thickTop="1" x14ac:dyDescent="0.25">
      <c r="B6" s="364" t="s">
        <v>6</v>
      </c>
      <c r="C6" s="365"/>
      <c r="D6" s="366"/>
      <c r="E6" s="346" t="s">
        <v>7</v>
      </c>
      <c r="F6" s="346"/>
      <c r="G6" s="346"/>
      <c r="H6" s="346"/>
      <c r="I6" s="346"/>
      <c r="J6" s="346"/>
      <c r="K6" s="346"/>
      <c r="L6" s="346"/>
      <c r="M6" s="346"/>
      <c r="N6" s="346"/>
      <c r="O6" s="346"/>
      <c r="P6" s="346"/>
      <c r="Q6" s="346"/>
      <c r="R6" s="346"/>
      <c r="S6" s="346"/>
      <c r="T6" s="370" t="s">
        <v>15</v>
      </c>
      <c r="AL6" s="142"/>
      <c r="AM6" s="142"/>
      <c r="AN6" s="142"/>
    </row>
    <row r="7" spans="2:40" x14ac:dyDescent="0.25">
      <c r="B7" s="367"/>
      <c r="C7" s="368"/>
      <c r="D7" s="369"/>
      <c r="E7" s="118">
        <v>1</v>
      </c>
      <c r="F7" s="118">
        <v>2</v>
      </c>
      <c r="G7" s="118">
        <v>3</v>
      </c>
      <c r="H7" s="118">
        <v>4</v>
      </c>
      <c r="I7" s="118">
        <v>5</v>
      </c>
      <c r="J7" s="118">
        <v>6</v>
      </c>
      <c r="K7" s="118">
        <v>7</v>
      </c>
      <c r="L7" s="118">
        <v>8</v>
      </c>
      <c r="M7" s="118">
        <v>9</v>
      </c>
      <c r="N7" s="118">
        <v>10</v>
      </c>
      <c r="O7" s="118">
        <v>11</v>
      </c>
      <c r="P7" s="118">
        <v>12</v>
      </c>
      <c r="Q7" s="118">
        <v>13</v>
      </c>
      <c r="R7" s="118">
        <v>14</v>
      </c>
      <c r="S7" s="118">
        <v>15</v>
      </c>
      <c r="T7" s="371"/>
      <c r="X7" s="143"/>
      <c r="Y7" s="144" t="str">
        <f>X8</f>
        <v>Ko</v>
      </c>
      <c r="Z7" s="144" t="str">
        <f>X9</f>
        <v>V</v>
      </c>
      <c r="AA7" s="144" t="str">
        <f>X10</f>
        <v>E</v>
      </c>
      <c r="AB7" s="144" t="str">
        <f>X11</f>
        <v>Ke</v>
      </c>
      <c r="AL7" s="142"/>
      <c r="AM7" s="142"/>
      <c r="AN7" s="142"/>
    </row>
    <row r="8" spans="2:40" x14ac:dyDescent="0.25">
      <c r="B8" s="145" t="s">
        <v>25</v>
      </c>
      <c r="C8" s="146"/>
      <c r="D8" s="147"/>
      <c r="E8" s="119"/>
      <c r="F8" s="119"/>
      <c r="G8" s="119"/>
      <c r="H8" s="119"/>
      <c r="I8" s="119"/>
      <c r="J8" s="119"/>
      <c r="K8" s="119"/>
      <c r="L8" s="119"/>
      <c r="M8" s="119"/>
      <c r="N8" s="119"/>
      <c r="O8" s="119"/>
      <c r="P8" s="119"/>
      <c r="Q8" s="119"/>
      <c r="R8" s="119"/>
      <c r="S8" s="119"/>
      <c r="T8" s="148"/>
      <c r="X8" s="144" t="s">
        <v>33</v>
      </c>
      <c r="Y8" s="149" t="s">
        <v>35</v>
      </c>
      <c r="Z8" s="150">
        <f>T25</f>
        <v>1.1499999999999999</v>
      </c>
      <c r="AA8" s="151">
        <f>T29</f>
        <v>2.5</v>
      </c>
      <c r="AB8" s="151">
        <f>T30</f>
        <v>0.5</v>
      </c>
    </row>
    <row r="9" spans="2:40" x14ac:dyDescent="0.25">
      <c r="B9" s="122"/>
      <c r="C9" s="152" t="s">
        <v>17</v>
      </c>
      <c r="D9" s="153" t="s">
        <v>31</v>
      </c>
      <c r="E9" s="154" t="s">
        <v>22</v>
      </c>
      <c r="F9" s="154" t="s">
        <v>22</v>
      </c>
      <c r="G9" s="154" t="s">
        <v>22</v>
      </c>
      <c r="H9" s="154" t="s">
        <v>22</v>
      </c>
      <c r="I9" s="154" t="s">
        <v>22</v>
      </c>
      <c r="J9" s="154" t="s">
        <v>22</v>
      </c>
      <c r="K9" s="154" t="s">
        <v>22</v>
      </c>
      <c r="L9" s="154" t="s">
        <v>22</v>
      </c>
      <c r="M9" s="154" t="s">
        <v>22</v>
      </c>
      <c r="N9" s="155" t="s">
        <v>23</v>
      </c>
      <c r="O9" s="155" t="s">
        <v>23</v>
      </c>
      <c r="P9" s="155" t="s">
        <v>23</v>
      </c>
      <c r="Q9" s="155" t="s">
        <v>23</v>
      </c>
      <c r="R9" s="155" t="s">
        <v>23</v>
      </c>
      <c r="S9" s="155" t="s">
        <v>23</v>
      </c>
      <c r="T9" s="156"/>
      <c r="X9" s="144" t="s">
        <v>29</v>
      </c>
      <c r="Y9" s="150">
        <f>Z8</f>
        <v>1.1499999999999999</v>
      </c>
      <c r="Z9" s="149" t="s">
        <v>35</v>
      </c>
      <c r="AA9" s="150">
        <f>T26</f>
        <v>1</v>
      </c>
      <c r="AB9" s="150">
        <f>T28</f>
        <v>1.333333333333333</v>
      </c>
    </row>
    <row r="10" spans="2:40" x14ac:dyDescent="0.25">
      <c r="B10" s="122"/>
      <c r="C10" s="152" t="s">
        <v>18</v>
      </c>
      <c r="D10" s="153" t="s">
        <v>21</v>
      </c>
      <c r="E10" s="155" t="s">
        <v>23</v>
      </c>
      <c r="F10" s="155" t="s">
        <v>23</v>
      </c>
      <c r="G10" s="155" t="s">
        <v>23</v>
      </c>
      <c r="H10" s="155" t="s">
        <v>23</v>
      </c>
      <c r="I10" s="155" t="s">
        <v>23</v>
      </c>
      <c r="J10" s="155" t="s">
        <v>23</v>
      </c>
      <c r="K10" s="155" t="s">
        <v>23</v>
      </c>
      <c r="L10" s="155" t="s">
        <v>23</v>
      </c>
      <c r="M10" s="155" t="s">
        <v>23</v>
      </c>
      <c r="N10" s="155" t="s">
        <v>23</v>
      </c>
      <c r="O10" s="155" t="s">
        <v>23</v>
      </c>
      <c r="P10" s="155" t="s">
        <v>23</v>
      </c>
      <c r="Q10" s="155" t="s">
        <v>23</v>
      </c>
      <c r="R10" s="155" t="s">
        <v>23</v>
      </c>
      <c r="S10" s="155" t="s">
        <v>23</v>
      </c>
      <c r="T10" s="156"/>
      <c r="X10" s="144" t="s">
        <v>28</v>
      </c>
      <c r="Y10" s="151">
        <f>T29</f>
        <v>2.5</v>
      </c>
      <c r="Z10" s="150">
        <f>AA9</f>
        <v>1</v>
      </c>
      <c r="AA10" s="149" t="s">
        <v>35</v>
      </c>
      <c r="AB10" s="150">
        <f>T27</f>
        <v>0.5</v>
      </c>
    </row>
    <row r="11" spans="2:40" x14ac:dyDescent="0.25">
      <c r="B11" s="122"/>
      <c r="C11" s="152" t="s">
        <v>19</v>
      </c>
      <c r="D11" s="153" t="s">
        <v>32</v>
      </c>
      <c r="E11" s="155" t="s">
        <v>24</v>
      </c>
      <c r="F11" s="155" t="s">
        <v>24</v>
      </c>
      <c r="G11" s="155" t="s">
        <v>24</v>
      </c>
      <c r="H11" s="155" t="s">
        <v>24</v>
      </c>
      <c r="I11" s="155" t="s">
        <v>24</v>
      </c>
      <c r="J11" s="155" t="s">
        <v>24</v>
      </c>
      <c r="K11" s="155" t="s">
        <v>24</v>
      </c>
      <c r="L11" s="155" t="s">
        <v>24</v>
      </c>
      <c r="M11" s="155" t="s">
        <v>24</v>
      </c>
      <c r="N11" s="155" t="s">
        <v>24</v>
      </c>
      <c r="O11" s="155" t="s">
        <v>24</v>
      </c>
      <c r="P11" s="155" t="s">
        <v>24</v>
      </c>
      <c r="Q11" s="155" t="s">
        <v>24</v>
      </c>
      <c r="R11" s="155" t="s">
        <v>24</v>
      </c>
      <c r="S11" s="155" t="s">
        <v>24</v>
      </c>
      <c r="T11" s="156"/>
      <c r="X11" s="144" t="s">
        <v>34</v>
      </c>
      <c r="Y11" s="151">
        <f>T30</f>
        <v>0.5</v>
      </c>
      <c r="Z11" s="150">
        <f>AB9</f>
        <v>1.333333333333333</v>
      </c>
      <c r="AA11" s="150">
        <f>AB10</f>
        <v>0.5</v>
      </c>
      <c r="AB11" s="149" t="s">
        <v>35</v>
      </c>
    </row>
    <row r="12" spans="2:40" x14ac:dyDescent="0.25">
      <c r="B12" s="122"/>
      <c r="C12" s="152" t="s">
        <v>20</v>
      </c>
      <c r="D12" s="153" t="s">
        <v>30</v>
      </c>
      <c r="E12" s="155" t="s">
        <v>59</v>
      </c>
      <c r="F12" s="155" t="s">
        <v>59</v>
      </c>
      <c r="G12" s="155" t="s">
        <v>59</v>
      </c>
      <c r="H12" s="155" t="s">
        <v>59</v>
      </c>
      <c r="I12" s="155" t="s">
        <v>59</v>
      </c>
      <c r="J12" s="155" t="s">
        <v>59</v>
      </c>
      <c r="K12" s="155" t="s">
        <v>59</v>
      </c>
      <c r="L12" s="155" t="s">
        <v>59</v>
      </c>
      <c r="M12" s="155" t="s">
        <v>59</v>
      </c>
      <c r="N12" s="155" t="s">
        <v>59</v>
      </c>
      <c r="O12" s="155" t="s">
        <v>59</v>
      </c>
      <c r="P12" s="155" t="s">
        <v>59</v>
      </c>
      <c r="Q12" s="155" t="s">
        <v>59</v>
      </c>
      <c r="R12" s="155" t="s">
        <v>59</v>
      </c>
      <c r="S12" s="155" t="s">
        <v>59</v>
      </c>
      <c r="T12" s="156"/>
    </row>
    <row r="13" spans="2:40" x14ac:dyDescent="0.25">
      <c r="B13" s="122"/>
      <c r="C13" s="152" t="s">
        <v>18</v>
      </c>
      <c r="D13" s="153" t="s">
        <v>21</v>
      </c>
      <c r="E13" s="155" t="s">
        <v>23</v>
      </c>
      <c r="F13" s="155" t="s">
        <v>23</v>
      </c>
      <c r="G13" s="155" t="s">
        <v>23</v>
      </c>
      <c r="H13" s="155" t="s">
        <v>23</v>
      </c>
      <c r="I13" s="155" t="s">
        <v>23</v>
      </c>
      <c r="J13" s="155" t="s">
        <v>23</v>
      </c>
      <c r="K13" s="155" t="s">
        <v>23</v>
      </c>
      <c r="L13" s="155" t="s">
        <v>23</v>
      </c>
      <c r="M13" s="155" t="s">
        <v>23</v>
      </c>
      <c r="N13" s="155" t="s">
        <v>23</v>
      </c>
      <c r="O13" s="155" t="s">
        <v>23</v>
      </c>
      <c r="P13" s="155" t="s">
        <v>23</v>
      </c>
      <c r="Q13" s="155" t="s">
        <v>23</v>
      </c>
      <c r="R13" s="155" t="s">
        <v>23</v>
      </c>
      <c r="S13" s="155" t="s">
        <v>23</v>
      </c>
      <c r="T13" s="156"/>
      <c r="X13" s="144" t="s">
        <v>28</v>
      </c>
      <c r="Y13" s="151">
        <f>T32</f>
        <v>0</v>
      </c>
      <c r="Z13" s="150">
        <f>AA12</f>
        <v>0</v>
      </c>
      <c r="AA13" s="149" t="s">
        <v>35</v>
      </c>
      <c r="AB13" s="150">
        <f>T30</f>
        <v>0.5</v>
      </c>
    </row>
    <row r="14" spans="2:40" x14ac:dyDescent="0.25">
      <c r="B14" s="122"/>
      <c r="C14" s="152" t="s">
        <v>19</v>
      </c>
      <c r="D14" s="153" t="s">
        <v>32</v>
      </c>
      <c r="E14" s="155" t="s">
        <v>24</v>
      </c>
      <c r="F14" s="155" t="s">
        <v>24</v>
      </c>
      <c r="G14" s="155" t="s">
        <v>24</v>
      </c>
      <c r="H14" s="155" t="s">
        <v>24</v>
      </c>
      <c r="I14" s="155" t="s">
        <v>24</v>
      </c>
      <c r="J14" s="155" t="s">
        <v>24</v>
      </c>
      <c r="K14" s="155" t="s">
        <v>24</v>
      </c>
      <c r="L14" s="155" t="s">
        <v>24</v>
      </c>
      <c r="M14" s="155" t="s">
        <v>24</v>
      </c>
      <c r="N14" s="155" t="s">
        <v>24</v>
      </c>
      <c r="O14" s="155" t="s">
        <v>24</v>
      </c>
      <c r="P14" s="155" t="s">
        <v>24</v>
      </c>
      <c r="Q14" s="155" t="s">
        <v>24</v>
      </c>
      <c r="R14" s="155" t="s">
        <v>24</v>
      </c>
      <c r="S14" s="155" t="s">
        <v>24</v>
      </c>
      <c r="T14" s="156"/>
      <c r="X14" s="144" t="s">
        <v>34</v>
      </c>
      <c r="Y14" s="151">
        <f>T33</f>
        <v>0</v>
      </c>
      <c r="Z14" s="150">
        <f>AB12</f>
        <v>0</v>
      </c>
      <c r="AA14" s="150">
        <f>AB13</f>
        <v>0.5</v>
      </c>
      <c r="AB14" s="149" t="s">
        <v>35</v>
      </c>
    </row>
    <row r="15" spans="2:40" x14ac:dyDescent="0.25">
      <c r="B15" s="122"/>
      <c r="C15" s="152" t="s">
        <v>20</v>
      </c>
      <c r="D15" s="153" t="s">
        <v>30</v>
      </c>
      <c r="E15" s="155" t="s">
        <v>59</v>
      </c>
      <c r="F15" s="155" t="s">
        <v>59</v>
      </c>
      <c r="G15" s="155" t="s">
        <v>59</v>
      </c>
      <c r="H15" s="155" t="s">
        <v>59</v>
      </c>
      <c r="I15" s="155" t="s">
        <v>59</v>
      </c>
      <c r="J15" s="155" t="s">
        <v>59</v>
      </c>
      <c r="K15" s="155" t="s">
        <v>59</v>
      </c>
      <c r="L15" s="155" t="s">
        <v>59</v>
      </c>
      <c r="M15" s="155" t="s">
        <v>59</v>
      </c>
      <c r="N15" s="155" t="s">
        <v>59</v>
      </c>
      <c r="O15" s="155" t="s">
        <v>59</v>
      </c>
      <c r="P15" s="155" t="s">
        <v>59</v>
      </c>
      <c r="Q15" s="155" t="s">
        <v>59</v>
      </c>
      <c r="R15" s="155" t="s">
        <v>59</v>
      </c>
      <c r="S15" s="155" t="s">
        <v>59</v>
      </c>
      <c r="T15" s="156"/>
    </row>
    <row r="16" spans="2:40" x14ac:dyDescent="0.25">
      <c r="B16" s="157"/>
      <c r="C16" s="158" t="s">
        <v>36</v>
      </c>
      <c r="D16" s="159" t="s">
        <v>37</v>
      </c>
      <c r="E16" s="160" t="s">
        <v>39</v>
      </c>
      <c r="F16" s="160" t="s">
        <v>39</v>
      </c>
      <c r="G16" s="160" t="s">
        <v>39</v>
      </c>
      <c r="H16" s="160" t="s">
        <v>39</v>
      </c>
      <c r="I16" s="160" t="s">
        <v>39</v>
      </c>
      <c r="J16" s="160" t="s">
        <v>39</v>
      </c>
      <c r="K16" s="160" t="s">
        <v>39</v>
      </c>
      <c r="L16" s="160" t="s">
        <v>39</v>
      </c>
      <c r="M16" s="160" t="s">
        <v>39</v>
      </c>
      <c r="N16" s="160" t="s">
        <v>39</v>
      </c>
      <c r="O16" s="160" t="s">
        <v>39</v>
      </c>
      <c r="P16" s="160" t="s">
        <v>39</v>
      </c>
      <c r="Q16" s="160" t="s">
        <v>39</v>
      </c>
      <c r="R16" s="160" t="s">
        <v>39</v>
      </c>
      <c r="S16" s="160" t="s">
        <v>39</v>
      </c>
      <c r="T16" s="161"/>
    </row>
    <row r="17" spans="2:30" x14ac:dyDescent="0.25">
      <c r="B17" s="157"/>
      <c r="C17" s="158" t="s">
        <v>56</v>
      </c>
      <c r="D17" s="159" t="s">
        <v>38</v>
      </c>
      <c r="E17" s="160" t="s">
        <v>60</v>
      </c>
      <c r="F17" s="160" t="s">
        <v>60</v>
      </c>
      <c r="G17" s="160" t="s">
        <v>60</v>
      </c>
      <c r="H17" s="160" t="s">
        <v>60</v>
      </c>
      <c r="I17" s="160" t="s">
        <v>60</v>
      </c>
      <c r="J17" s="160" t="s">
        <v>60</v>
      </c>
      <c r="K17" s="160" t="s">
        <v>60</v>
      </c>
      <c r="L17" s="160" t="s">
        <v>60</v>
      </c>
      <c r="M17" s="160" t="s">
        <v>60</v>
      </c>
      <c r="N17" s="160" t="s">
        <v>60</v>
      </c>
      <c r="O17" s="160" t="s">
        <v>60</v>
      </c>
      <c r="P17" s="160" t="s">
        <v>60</v>
      </c>
      <c r="Q17" s="160" t="s">
        <v>60</v>
      </c>
      <c r="R17" s="160" t="s">
        <v>60</v>
      </c>
      <c r="S17" s="160" t="s">
        <v>60</v>
      </c>
      <c r="T17" s="161"/>
      <c r="W17" s="162" t="s">
        <v>40</v>
      </c>
      <c r="AC17" s="113" t="s">
        <v>41</v>
      </c>
    </row>
    <row r="18" spans="2:30" ht="15.75" thickBot="1" x14ac:dyDescent="0.3">
      <c r="B18" s="136"/>
      <c r="C18" s="163"/>
      <c r="D18" s="137"/>
      <c r="E18" s="138"/>
      <c r="F18" s="138"/>
      <c r="G18" s="138"/>
      <c r="H18" s="138"/>
      <c r="I18" s="138"/>
      <c r="J18" s="138"/>
      <c r="K18" s="138"/>
      <c r="L18" s="138"/>
      <c r="M18" s="138"/>
      <c r="N18" s="138"/>
      <c r="O18" s="138"/>
      <c r="P18" s="138"/>
      <c r="Q18" s="138"/>
      <c r="R18" s="138"/>
      <c r="S18" s="138"/>
      <c r="T18" s="164"/>
    </row>
    <row r="19" spans="2:30" ht="15.75" thickTop="1" x14ac:dyDescent="0.25">
      <c r="X19" s="165"/>
      <c r="Y19" s="141" t="str">
        <f>$Y$7</f>
        <v>Ko</v>
      </c>
      <c r="Z19" s="141" t="str">
        <f>$Z$7</f>
        <v>V</v>
      </c>
      <c r="AA19" s="141" t="str">
        <f>$AA$7</f>
        <v>E</v>
      </c>
      <c r="AB19" s="141" t="str">
        <f>$AB$7</f>
        <v>Ke</v>
      </c>
    </row>
    <row r="20" spans="2:30" x14ac:dyDescent="0.25">
      <c r="X20" s="141" t="str">
        <f>$X$8</f>
        <v>Ko</v>
      </c>
      <c r="Y20" s="166">
        <v>1</v>
      </c>
      <c r="Z20" s="167">
        <f>Z8</f>
        <v>1.1499999999999999</v>
      </c>
      <c r="AA20" s="167">
        <f>AA8</f>
        <v>2.5</v>
      </c>
      <c r="AB20" s="168">
        <f>AB8</f>
        <v>0.5</v>
      </c>
    </row>
    <row r="21" spans="2:30" ht="15.75" thickBot="1" x14ac:dyDescent="0.3">
      <c r="B21" s="112" t="s">
        <v>61</v>
      </c>
      <c r="X21" s="141" t="str">
        <f>$X$9</f>
        <v>V</v>
      </c>
      <c r="Y21" s="169">
        <f>Y9</f>
        <v>1.1499999999999999</v>
      </c>
      <c r="Z21" s="170">
        <v>1</v>
      </c>
      <c r="AA21" s="167">
        <f>AA9</f>
        <v>1</v>
      </c>
      <c r="AB21" s="171">
        <f>AB9</f>
        <v>1.333333333333333</v>
      </c>
    </row>
    <row r="22" spans="2:30" ht="15.75" thickTop="1" x14ac:dyDescent="0.25">
      <c r="B22" s="364" t="s">
        <v>6</v>
      </c>
      <c r="C22" s="365"/>
      <c r="D22" s="366"/>
      <c r="E22" s="346" t="s">
        <v>7</v>
      </c>
      <c r="F22" s="346"/>
      <c r="G22" s="346"/>
      <c r="H22" s="346"/>
      <c r="I22" s="346"/>
      <c r="J22" s="346"/>
      <c r="K22" s="346"/>
      <c r="L22" s="346"/>
      <c r="M22" s="346"/>
      <c r="N22" s="346"/>
      <c r="O22" s="346"/>
      <c r="P22" s="346"/>
      <c r="Q22" s="346"/>
      <c r="R22" s="346"/>
      <c r="S22" s="346"/>
      <c r="T22" s="370" t="s">
        <v>16</v>
      </c>
      <c r="X22" s="141" t="str">
        <f>$X$10</f>
        <v>E</v>
      </c>
      <c r="Y22" s="169">
        <f>Y10</f>
        <v>2.5</v>
      </c>
      <c r="Z22" s="167">
        <f>Z10</f>
        <v>1</v>
      </c>
      <c r="AA22" s="170">
        <v>1</v>
      </c>
      <c r="AB22" s="171">
        <f>AB10</f>
        <v>0.5</v>
      </c>
    </row>
    <row r="23" spans="2:30" x14ac:dyDescent="0.25">
      <c r="B23" s="367"/>
      <c r="C23" s="368"/>
      <c r="D23" s="369"/>
      <c r="E23" s="118">
        <v>1</v>
      </c>
      <c r="F23" s="118">
        <v>2</v>
      </c>
      <c r="G23" s="118">
        <v>3</v>
      </c>
      <c r="H23" s="118">
        <v>4</v>
      </c>
      <c r="I23" s="118">
        <v>5</v>
      </c>
      <c r="J23" s="118">
        <v>6</v>
      </c>
      <c r="K23" s="118">
        <v>7</v>
      </c>
      <c r="L23" s="118">
        <v>8</v>
      </c>
      <c r="M23" s="118">
        <v>9</v>
      </c>
      <c r="N23" s="118">
        <v>10</v>
      </c>
      <c r="O23" s="118">
        <v>11</v>
      </c>
      <c r="P23" s="118">
        <v>12</v>
      </c>
      <c r="Q23" s="118">
        <v>13</v>
      </c>
      <c r="R23" s="118">
        <v>14</v>
      </c>
      <c r="S23" s="118">
        <v>15</v>
      </c>
      <c r="T23" s="371"/>
      <c r="X23" s="141" t="str">
        <f>$X$11</f>
        <v>Ke</v>
      </c>
      <c r="Y23" s="172">
        <f>Y11</f>
        <v>0.5</v>
      </c>
      <c r="Z23" s="167">
        <f>Z11</f>
        <v>1.333333333333333</v>
      </c>
      <c r="AA23" s="167">
        <f>AA11</f>
        <v>0.5</v>
      </c>
      <c r="AB23" s="173">
        <v>1</v>
      </c>
    </row>
    <row r="24" spans="2:30" x14ac:dyDescent="0.25">
      <c r="B24" s="145" t="s">
        <v>26</v>
      </c>
      <c r="C24" s="146"/>
      <c r="D24" s="147"/>
      <c r="E24" s="119"/>
      <c r="F24" s="119"/>
      <c r="G24" s="119"/>
      <c r="H24" s="119"/>
      <c r="I24" s="119"/>
      <c r="J24" s="119"/>
      <c r="K24" s="119"/>
      <c r="L24" s="119"/>
      <c r="M24" s="119"/>
      <c r="N24" s="119"/>
      <c r="O24" s="119"/>
      <c r="P24" s="119"/>
      <c r="Q24" s="119"/>
      <c r="R24" s="119"/>
      <c r="S24" s="119"/>
      <c r="T24" s="148"/>
    </row>
    <row r="25" spans="2:30" x14ac:dyDescent="0.25">
      <c r="B25" s="122"/>
      <c r="C25" s="152" t="s">
        <v>17</v>
      </c>
      <c r="D25" s="153" t="str">
        <f>D9</f>
        <v>Ko/V</v>
      </c>
      <c r="E25" s="174">
        <f>5/4</f>
        <v>1.25</v>
      </c>
      <c r="F25" s="175">
        <f t="shared" ref="F25:M25" si="0">5/4</f>
        <v>1.25</v>
      </c>
      <c r="G25" s="175">
        <f t="shared" si="0"/>
        <v>1.25</v>
      </c>
      <c r="H25" s="175">
        <f t="shared" si="0"/>
        <v>1.25</v>
      </c>
      <c r="I25" s="175">
        <f t="shared" si="0"/>
        <v>1.25</v>
      </c>
      <c r="J25" s="175">
        <f t="shared" si="0"/>
        <v>1.25</v>
      </c>
      <c r="K25" s="175">
        <f t="shared" si="0"/>
        <v>1.25</v>
      </c>
      <c r="L25" s="175">
        <f t="shared" si="0"/>
        <v>1.25</v>
      </c>
      <c r="M25" s="175">
        <f t="shared" si="0"/>
        <v>1.25</v>
      </c>
      <c r="N25" s="175">
        <v>1</v>
      </c>
      <c r="O25" s="175">
        <v>1</v>
      </c>
      <c r="P25" s="175">
        <v>1</v>
      </c>
      <c r="Q25" s="175">
        <v>1</v>
      </c>
      <c r="R25" s="175">
        <v>1</v>
      </c>
      <c r="S25" s="175">
        <v>1</v>
      </c>
      <c r="T25" s="156">
        <f>AVERAGE(E25:S25)</f>
        <v>1.1499999999999999</v>
      </c>
      <c r="X25" s="165"/>
      <c r="Y25" s="141" t="str">
        <f>$Y$7</f>
        <v>Ko</v>
      </c>
      <c r="Z25" s="141" t="str">
        <f>$Z$7</f>
        <v>V</v>
      </c>
      <c r="AA25" s="141" t="str">
        <f>$AA$7</f>
        <v>E</v>
      </c>
      <c r="AB25" s="141" t="str">
        <f>$AB$7</f>
        <v>Ke</v>
      </c>
    </row>
    <row r="26" spans="2:30" x14ac:dyDescent="0.25">
      <c r="B26" s="122"/>
      <c r="C26" s="152" t="s">
        <v>18</v>
      </c>
      <c r="D26" s="153" t="str">
        <f>D10</f>
        <v>V/E</v>
      </c>
      <c r="E26" s="175">
        <v>1</v>
      </c>
      <c r="F26" s="175">
        <v>1</v>
      </c>
      <c r="G26" s="175">
        <v>1</v>
      </c>
      <c r="H26" s="175">
        <v>1</v>
      </c>
      <c r="I26" s="175">
        <v>1</v>
      </c>
      <c r="J26" s="175">
        <v>1</v>
      </c>
      <c r="K26" s="175">
        <v>1</v>
      </c>
      <c r="L26" s="175">
        <v>1</v>
      </c>
      <c r="M26" s="175">
        <v>1</v>
      </c>
      <c r="N26" s="175">
        <v>1</v>
      </c>
      <c r="O26" s="175">
        <v>1</v>
      </c>
      <c r="P26" s="175">
        <v>1</v>
      </c>
      <c r="Q26" s="175">
        <v>1</v>
      </c>
      <c r="R26" s="175">
        <v>1</v>
      </c>
      <c r="S26" s="175">
        <v>1</v>
      </c>
      <c r="T26" s="156">
        <f t="shared" ref="T26:T30" si="1">AVERAGE(E26:S26)</f>
        <v>1</v>
      </c>
      <c r="X26" s="141" t="str">
        <f>$X$8</f>
        <v>Ko</v>
      </c>
      <c r="Y26" s="166">
        <f t="shared" ref="Y26:AB29" si="2">Y20</f>
        <v>1</v>
      </c>
      <c r="Z26" s="167">
        <f t="shared" si="2"/>
        <v>1.1499999999999999</v>
      </c>
      <c r="AA26" s="167">
        <f t="shared" si="2"/>
        <v>2.5</v>
      </c>
      <c r="AB26" s="168">
        <f t="shared" si="2"/>
        <v>0.5</v>
      </c>
    </row>
    <row r="27" spans="2:30" x14ac:dyDescent="0.25">
      <c r="B27" s="122"/>
      <c r="C27" s="152" t="s">
        <v>19</v>
      </c>
      <c r="D27" s="153" t="str">
        <f>D11</f>
        <v>E/Ke</v>
      </c>
      <c r="E27" s="175">
        <v>0.5</v>
      </c>
      <c r="F27" s="175">
        <v>0.5</v>
      </c>
      <c r="G27" s="175">
        <v>0.5</v>
      </c>
      <c r="H27" s="175">
        <v>0.5</v>
      </c>
      <c r="I27" s="175">
        <v>0.5</v>
      </c>
      <c r="J27" s="175">
        <v>0.5</v>
      </c>
      <c r="K27" s="175">
        <v>0.5</v>
      </c>
      <c r="L27" s="175">
        <v>0.5</v>
      </c>
      <c r="M27" s="175">
        <v>0.5</v>
      </c>
      <c r="N27" s="175">
        <v>0.5</v>
      </c>
      <c r="O27" s="175">
        <v>0.5</v>
      </c>
      <c r="P27" s="175">
        <v>0.5</v>
      </c>
      <c r="Q27" s="175">
        <v>0.5</v>
      </c>
      <c r="R27" s="175">
        <v>0.5</v>
      </c>
      <c r="S27" s="175">
        <v>0.5</v>
      </c>
      <c r="T27" s="156">
        <f t="shared" si="1"/>
        <v>0.5</v>
      </c>
      <c r="X27" s="141" t="str">
        <f>$X$9</f>
        <v>V</v>
      </c>
      <c r="Y27" s="169">
        <f t="shared" si="2"/>
        <v>1.1499999999999999</v>
      </c>
      <c r="Z27" s="170">
        <f t="shared" si="2"/>
        <v>1</v>
      </c>
      <c r="AA27" s="167">
        <f t="shared" si="2"/>
        <v>1</v>
      </c>
      <c r="AB27" s="171">
        <f t="shared" si="2"/>
        <v>1.333333333333333</v>
      </c>
    </row>
    <row r="28" spans="2:30" x14ac:dyDescent="0.25">
      <c r="B28" s="122"/>
      <c r="C28" s="152" t="s">
        <v>20</v>
      </c>
      <c r="D28" s="153" t="str">
        <f>D12</f>
        <v>V/Ke</v>
      </c>
      <c r="E28" s="175">
        <f>4/3</f>
        <v>1.3333333333333333</v>
      </c>
      <c r="F28" s="175">
        <f t="shared" ref="F28:S28" si="3">4/3</f>
        <v>1.3333333333333333</v>
      </c>
      <c r="G28" s="175">
        <f t="shared" si="3"/>
        <v>1.3333333333333333</v>
      </c>
      <c r="H28" s="175">
        <f t="shared" si="3"/>
        <v>1.3333333333333333</v>
      </c>
      <c r="I28" s="175">
        <f t="shared" si="3"/>
        <v>1.3333333333333333</v>
      </c>
      <c r="J28" s="175">
        <f t="shared" si="3"/>
        <v>1.3333333333333333</v>
      </c>
      <c r="K28" s="175">
        <f t="shared" si="3"/>
        <v>1.3333333333333333</v>
      </c>
      <c r="L28" s="175">
        <f t="shared" si="3"/>
        <v>1.3333333333333333</v>
      </c>
      <c r="M28" s="175">
        <f t="shared" si="3"/>
        <v>1.3333333333333333</v>
      </c>
      <c r="N28" s="175">
        <f t="shared" si="3"/>
        <v>1.3333333333333333</v>
      </c>
      <c r="O28" s="175">
        <f t="shared" si="3"/>
        <v>1.3333333333333333</v>
      </c>
      <c r="P28" s="175">
        <f t="shared" si="3"/>
        <v>1.3333333333333333</v>
      </c>
      <c r="Q28" s="175">
        <f t="shared" si="3"/>
        <v>1.3333333333333333</v>
      </c>
      <c r="R28" s="175">
        <f t="shared" si="3"/>
        <v>1.3333333333333333</v>
      </c>
      <c r="S28" s="175">
        <f t="shared" si="3"/>
        <v>1.3333333333333333</v>
      </c>
      <c r="T28" s="156">
        <f t="shared" si="1"/>
        <v>1.333333333333333</v>
      </c>
      <c r="X28" s="141" t="str">
        <f>$X$10</f>
        <v>E</v>
      </c>
      <c r="Y28" s="169">
        <f t="shared" si="2"/>
        <v>2.5</v>
      </c>
      <c r="Z28" s="167">
        <f t="shared" si="2"/>
        <v>1</v>
      </c>
      <c r="AA28" s="170">
        <f t="shared" si="2"/>
        <v>1</v>
      </c>
      <c r="AB28" s="171">
        <f t="shared" si="2"/>
        <v>0.5</v>
      </c>
    </row>
    <row r="29" spans="2:30" x14ac:dyDescent="0.25">
      <c r="B29" s="157"/>
      <c r="C29" s="158" t="str">
        <f>C16</f>
        <v>Kondisi vs Ekonomi</v>
      </c>
      <c r="D29" s="159" t="str">
        <f t="shared" ref="D29:D30" si="4">D16</f>
        <v>Ko/E</v>
      </c>
      <c r="E29" s="176">
        <f>5/2</f>
        <v>2.5</v>
      </c>
      <c r="F29" s="176">
        <f t="shared" ref="F29:S29" si="5">5/2</f>
        <v>2.5</v>
      </c>
      <c r="G29" s="176">
        <f t="shared" si="5"/>
        <v>2.5</v>
      </c>
      <c r="H29" s="176">
        <f t="shared" si="5"/>
        <v>2.5</v>
      </c>
      <c r="I29" s="176">
        <f t="shared" si="5"/>
        <v>2.5</v>
      </c>
      <c r="J29" s="176">
        <f t="shared" si="5"/>
        <v>2.5</v>
      </c>
      <c r="K29" s="176">
        <f t="shared" si="5"/>
        <v>2.5</v>
      </c>
      <c r="L29" s="176">
        <f t="shared" si="5"/>
        <v>2.5</v>
      </c>
      <c r="M29" s="176">
        <f t="shared" si="5"/>
        <v>2.5</v>
      </c>
      <c r="N29" s="176">
        <f t="shared" si="5"/>
        <v>2.5</v>
      </c>
      <c r="O29" s="176">
        <f t="shared" si="5"/>
        <v>2.5</v>
      </c>
      <c r="P29" s="176">
        <f t="shared" si="5"/>
        <v>2.5</v>
      </c>
      <c r="Q29" s="176">
        <f t="shared" si="5"/>
        <v>2.5</v>
      </c>
      <c r="R29" s="176">
        <f t="shared" si="5"/>
        <v>2.5</v>
      </c>
      <c r="S29" s="176">
        <f t="shared" si="5"/>
        <v>2.5</v>
      </c>
      <c r="T29" s="156">
        <f t="shared" si="1"/>
        <v>2.5</v>
      </c>
      <c r="X29" s="141" t="str">
        <f>$X$11</f>
        <v>Ke</v>
      </c>
      <c r="Y29" s="172">
        <f t="shared" si="2"/>
        <v>0.5</v>
      </c>
      <c r="Z29" s="167">
        <f t="shared" si="2"/>
        <v>1.333333333333333</v>
      </c>
      <c r="AA29" s="167">
        <f t="shared" si="2"/>
        <v>0.5</v>
      </c>
      <c r="AB29" s="173">
        <f t="shared" si="2"/>
        <v>1</v>
      </c>
    </row>
    <row r="30" spans="2:30" x14ac:dyDescent="0.25">
      <c r="B30" s="157"/>
      <c r="C30" s="158" t="str">
        <f>C17</f>
        <v>Kebijakan vs Kondisi</v>
      </c>
      <c r="D30" s="159" t="str">
        <f t="shared" si="4"/>
        <v>Ko/Ke</v>
      </c>
      <c r="E30" s="176">
        <f>2/4</f>
        <v>0.5</v>
      </c>
      <c r="F30" s="176">
        <f t="shared" ref="F30:S30" si="6">2/4</f>
        <v>0.5</v>
      </c>
      <c r="G30" s="176">
        <f t="shared" si="6"/>
        <v>0.5</v>
      </c>
      <c r="H30" s="176">
        <f t="shared" si="6"/>
        <v>0.5</v>
      </c>
      <c r="I30" s="176">
        <f t="shared" si="6"/>
        <v>0.5</v>
      </c>
      <c r="J30" s="176">
        <f t="shared" si="6"/>
        <v>0.5</v>
      </c>
      <c r="K30" s="176">
        <f t="shared" si="6"/>
        <v>0.5</v>
      </c>
      <c r="L30" s="176">
        <f t="shared" si="6"/>
        <v>0.5</v>
      </c>
      <c r="M30" s="176">
        <f t="shared" si="6"/>
        <v>0.5</v>
      </c>
      <c r="N30" s="176">
        <f t="shared" si="6"/>
        <v>0.5</v>
      </c>
      <c r="O30" s="176">
        <f t="shared" si="6"/>
        <v>0.5</v>
      </c>
      <c r="P30" s="176">
        <f t="shared" si="6"/>
        <v>0.5</v>
      </c>
      <c r="Q30" s="176">
        <f t="shared" si="6"/>
        <v>0.5</v>
      </c>
      <c r="R30" s="176">
        <f t="shared" si="6"/>
        <v>0.5</v>
      </c>
      <c r="S30" s="176">
        <f t="shared" si="6"/>
        <v>0.5</v>
      </c>
      <c r="T30" s="156">
        <f t="shared" si="1"/>
        <v>0.5</v>
      </c>
    </row>
    <row r="31" spans="2:30" ht="15.75" thickBot="1" x14ac:dyDescent="0.3">
      <c r="B31" s="136"/>
      <c r="C31" s="163"/>
      <c r="D31" s="137"/>
      <c r="E31" s="138"/>
      <c r="F31" s="138"/>
      <c r="G31" s="138"/>
      <c r="H31" s="138"/>
      <c r="I31" s="138"/>
      <c r="J31" s="138"/>
      <c r="K31" s="138"/>
      <c r="L31" s="138"/>
      <c r="M31" s="138"/>
      <c r="N31" s="138"/>
      <c r="O31" s="138"/>
      <c r="P31" s="138"/>
      <c r="Q31" s="138"/>
      <c r="R31" s="138"/>
      <c r="S31" s="138"/>
      <c r="T31" s="164"/>
      <c r="W31" s="112" t="s">
        <v>42</v>
      </c>
      <c r="AD31" s="112" t="s">
        <v>43</v>
      </c>
    </row>
    <row r="32" spans="2:30" ht="15.75" thickTop="1" x14ac:dyDescent="0.25"/>
    <row r="33" spans="23:39" x14ac:dyDescent="0.25">
      <c r="W33" s="113" t="s">
        <v>44</v>
      </c>
      <c r="Z33" s="113" t="s">
        <v>50</v>
      </c>
    </row>
    <row r="35" spans="23:39" x14ac:dyDescent="0.25">
      <c r="Y35" s="177">
        <f>(Y20*Y26)+(Z20*Y27)+(AA20*Y28)+(AB20*Y29)</f>
        <v>8.8224999999999998</v>
      </c>
      <c r="Z35" s="178">
        <f>(Y20*Z26)+(Z20*Z27)+(AA20*Z28)+(AB20*Z29)</f>
        <v>5.4666666666666668</v>
      </c>
      <c r="AA35" s="178">
        <f>(Y20*AA26)+(Z20*AA27)+(AA20*AA28)+(AB20*AA29)</f>
        <v>6.4</v>
      </c>
      <c r="AB35" s="179">
        <f>(Y20*AB26)+(Z20*AB27)+(AA20*AB28)+(AB20*AB29)</f>
        <v>3.7833333333333328</v>
      </c>
    </row>
    <row r="36" spans="23:39" x14ac:dyDescent="0.25">
      <c r="Y36" s="180">
        <f>(Y21*Y26)+(Z21*Y27)+(AA21*Y28)+(AB21*Y29)</f>
        <v>5.4666666666666668</v>
      </c>
      <c r="Z36" s="178">
        <f>(Y21*Z26)+(Z21*Z27)+(AA21*Z28)+(AB21*Z29)</f>
        <v>5.1002777777777766</v>
      </c>
      <c r="AA36" s="178">
        <f>(Y21*AA26)+(Z21*AA27)+(AA21*AA28)+(AB21*AA29)</f>
        <v>5.5416666666666661</v>
      </c>
      <c r="AB36" s="181">
        <f>(Y21*AB26)+(Z21*AB27)+(AA21*AB28)+(AB21*AB29)</f>
        <v>3.7416666666666663</v>
      </c>
    </row>
    <row r="37" spans="23:39" x14ac:dyDescent="0.25">
      <c r="Y37" s="180">
        <f>(Y22*Y26)+(Z22*Y27)+(AA22*Y28)+(AB22*Y29)</f>
        <v>6.4</v>
      </c>
      <c r="Z37" s="178">
        <f>(Y22*Z26)+(Z22*Z27)+(AA22*Z28)+(AB22*Z29)</f>
        <v>5.5416666666666661</v>
      </c>
      <c r="AA37" s="178">
        <f>(Y22*AA26)+(Z22*AA27)+(AA22*AA28)+(AB22*AA29)</f>
        <v>8.5</v>
      </c>
      <c r="AB37" s="181">
        <f>(Y22*AB26)+(Z22*AB27)+(AA22*AB28)+(AB22*AB29)</f>
        <v>3.583333333333333</v>
      </c>
    </row>
    <row r="38" spans="23:39" x14ac:dyDescent="0.25">
      <c r="Y38" s="182">
        <f>(Y23*Y26)+(Z23*Y27)+(AA23*Y28)+(AB23*Y29)</f>
        <v>3.7833333333333328</v>
      </c>
      <c r="Z38" s="178">
        <f>(Y23*Z26)+(Z23*Z27)+(AA23*Z28)+(AB23*Z29)</f>
        <v>3.7416666666666663</v>
      </c>
      <c r="AA38" s="178">
        <f>(Y23*AA26)+(Z23*AA27)+(AA23*AA28)+(AB23*AA29)</f>
        <v>3.583333333333333</v>
      </c>
      <c r="AB38" s="183">
        <f>(Y23*AB26)+(Z23*AB27)+(AA23*AB28)+(AB23*AB29)</f>
        <v>3.2777777777777768</v>
      </c>
    </row>
    <row r="41" spans="23:39" x14ac:dyDescent="0.25">
      <c r="W41" s="358" t="s">
        <v>62</v>
      </c>
      <c r="X41" s="358"/>
      <c r="Y41" s="358"/>
      <c r="Z41" s="358"/>
      <c r="AA41" s="358"/>
      <c r="AB41" s="358"/>
      <c r="AC41" s="358"/>
      <c r="AD41" s="358"/>
      <c r="AE41" s="358"/>
      <c r="AF41" s="358"/>
      <c r="AG41" s="358"/>
      <c r="AH41" s="358"/>
      <c r="AI41" s="358"/>
      <c r="AJ41" s="358"/>
      <c r="AK41" s="358"/>
      <c r="AL41" s="358"/>
      <c r="AM41" s="114"/>
    </row>
    <row r="42" spans="23:39" x14ac:dyDescent="0.25">
      <c r="W42" s="359" t="s">
        <v>63</v>
      </c>
      <c r="X42" s="359"/>
      <c r="Y42" s="359"/>
      <c r="Z42" s="359"/>
      <c r="AA42" s="359"/>
      <c r="AB42" s="359"/>
      <c r="AC42" s="359"/>
      <c r="AD42" s="359"/>
      <c r="AE42" s="359"/>
      <c r="AF42" s="359"/>
      <c r="AG42" s="359"/>
      <c r="AH42" s="359"/>
      <c r="AI42" s="359"/>
      <c r="AJ42" s="359"/>
      <c r="AK42" s="359"/>
      <c r="AL42" s="359"/>
      <c r="AM42" s="115"/>
    </row>
    <row r="43" spans="23:39" ht="15.75" thickBot="1" x14ac:dyDescent="0.3">
      <c r="W43" s="361" t="s">
        <v>64</v>
      </c>
      <c r="X43" s="361"/>
      <c r="Y43" s="361"/>
      <c r="Z43" s="361"/>
      <c r="AA43" s="361"/>
      <c r="AB43" s="361"/>
      <c r="AC43" s="361"/>
      <c r="AD43" s="361"/>
      <c r="AE43" s="361"/>
      <c r="AF43" s="361"/>
      <c r="AG43" s="361"/>
      <c r="AH43" s="361"/>
      <c r="AI43" s="361"/>
      <c r="AJ43" s="361"/>
      <c r="AK43" s="361"/>
      <c r="AL43" s="361"/>
      <c r="AM43" s="116"/>
    </row>
    <row r="44" spans="23:39" ht="15.75" thickTop="1" x14ac:dyDescent="0.25"/>
    <row r="45" spans="23:39" x14ac:dyDescent="0.25">
      <c r="W45" s="184" t="s">
        <v>46</v>
      </c>
      <c r="AL45" s="185" t="s">
        <v>48</v>
      </c>
    </row>
    <row r="46" spans="23:39" x14ac:dyDescent="0.25">
      <c r="AC46" s="177">
        <f>Y35</f>
        <v>8.8224999999999998</v>
      </c>
      <c r="AD46" s="141" t="s">
        <v>47</v>
      </c>
      <c r="AE46" s="178">
        <f>Z35</f>
        <v>5.4666666666666668</v>
      </c>
      <c r="AF46" s="141" t="s">
        <v>47</v>
      </c>
      <c r="AG46" s="178">
        <f>AA35</f>
        <v>6.4</v>
      </c>
      <c r="AH46" s="141" t="s">
        <v>47</v>
      </c>
      <c r="AI46" s="179">
        <f>AB35</f>
        <v>3.7833333333333328</v>
      </c>
      <c r="AJ46" s="141" t="s">
        <v>45</v>
      </c>
      <c r="AK46" s="186">
        <f>AC46+AE46+AG46+AI46</f>
        <v>24.472499999999997</v>
      </c>
      <c r="AL46" s="187">
        <f>AK46/$AK$50</f>
        <v>0.29579777197305956</v>
      </c>
    </row>
    <row r="47" spans="23:39" x14ac:dyDescent="0.25">
      <c r="AC47" s="180">
        <f>Y36</f>
        <v>5.4666666666666668</v>
      </c>
      <c r="AD47" s="141" t="s">
        <v>47</v>
      </c>
      <c r="AE47" s="178">
        <f>Z36</f>
        <v>5.1002777777777766</v>
      </c>
      <c r="AF47" s="141" t="s">
        <v>47</v>
      </c>
      <c r="AG47" s="178">
        <f>AA36</f>
        <v>5.5416666666666661</v>
      </c>
      <c r="AH47" s="141" t="s">
        <v>47</v>
      </c>
      <c r="AI47" s="181">
        <f>AB36</f>
        <v>3.7416666666666663</v>
      </c>
      <c r="AJ47" s="141" t="s">
        <v>45</v>
      </c>
      <c r="AK47" s="186">
        <f t="shared" ref="AK47:AK49" si="7">AC47+AE47+AG47+AI47</f>
        <v>19.850277777777777</v>
      </c>
      <c r="AL47" s="187">
        <f>AK47/$AK$50</f>
        <v>0.23992922421955268</v>
      </c>
    </row>
    <row r="48" spans="23:39" x14ac:dyDescent="0.25">
      <c r="AC48" s="180">
        <f>Y37</f>
        <v>6.4</v>
      </c>
      <c r="AD48" s="141" t="s">
        <v>47</v>
      </c>
      <c r="AE48" s="178">
        <f>Z37</f>
        <v>5.5416666666666661</v>
      </c>
      <c r="AF48" s="141" t="s">
        <v>47</v>
      </c>
      <c r="AG48" s="178">
        <f>AA37</f>
        <v>8.5</v>
      </c>
      <c r="AH48" s="141" t="s">
        <v>47</v>
      </c>
      <c r="AI48" s="181">
        <f>AB37</f>
        <v>3.583333333333333</v>
      </c>
      <c r="AJ48" s="141" t="s">
        <v>45</v>
      </c>
      <c r="AK48" s="186">
        <f t="shared" si="7"/>
        <v>24.024999999999999</v>
      </c>
      <c r="AL48" s="187">
        <f>AK48/$AK$50</f>
        <v>0.29038886389427959</v>
      </c>
    </row>
    <row r="49" spans="23:38" x14ac:dyDescent="0.25">
      <c r="AC49" s="182">
        <f>Y38</f>
        <v>3.7833333333333328</v>
      </c>
      <c r="AD49" s="141" t="s">
        <v>47</v>
      </c>
      <c r="AE49" s="178">
        <f>Z38</f>
        <v>3.7416666666666663</v>
      </c>
      <c r="AF49" s="141" t="s">
        <v>47</v>
      </c>
      <c r="AG49" s="178">
        <f>AA38</f>
        <v>3.583333333333333</v>
      </c>
      <c r="AH49" s="141" t="s">
        <v>47</v>
      </c>
      <c r="AI49" s="183">
        <f>AB38</f>
        <v>3.2777777777777768</v>
      </c>
      <c r="AJ49" s="141" t="s">
        <v>45</v>
      </c>
      <c r="AK49" s="188">
        <f t="shared" si="7"/>
        <v>14.386111111111108</v>
      </c>
      <c r="AL49" s="188">
        <f>AK49/$AK$50</f>
        <v>0.17388413991310828</v>
      </c>
    </row>
    <row r="50" spans="23:38" x14ac:dyDescent="0.25">
      <c r="AK50" s="189">
        <f>SUM(AK46:AK49)</f>
        <v>82.73388888888887</v>
      </c>
      <c r="AL50" s="189">
        <f>SUM(AL46:AL49)</f>
        <v>1.0000000000000002</v>
      </c>
    </row>
    <row r="52" spans="23:38" x14ac:dyDescent="0.25">
      <c r="W52" s="190" t="s">
        <v>49</v>
      </c>
      <c r="AC52" s="113" t="s">
        <v>41</v>
      </c>
    </row>
    <row r="54" spans="23:38" x14ac:dyDescent="0.25">
      <c r="X54" s="165"/>
      <c r="Y54" s="141" t="str">
        <f>$Y$7</f>
        <v>Ko</v>
      </c>
      <c r="Z54" s="141" t="str">
        <f>$Z$7</f>
        <v>V</v>
      </c>
      <c r="AA54" s="141" t="str">
        <f>$AA$7</f>
        <v>E</v>
      </c>
      <c r="AB54" s="141" t="str">
        <f>$AB$7</f>
        <v>Ke</v>
      </c>
    </row>
    <row r="55" spans="23:38" x14ac:dyDescent="0.25">
      <c r="X55" s="141" t="str">
        <f>$X$8</f>
        <v>Ko</v>
      </c>
      <c r="Y55" s="191">
        <f t="shared" ref="Y55:AB58" si="8">Y35</f>
        <v>8.8224999999999998</v>
      </c>
      <c r="Z55" s="167">
        <f t="shared" si="8"/>
        <v>5.4666666666666668</v>
      </c>
      <c r="AA55" s="167">
        <f t="shared" si="8"/>
        <v>6.4</v>
      </c>
      <c r="AB55" s="168">
        <f t="shared" si="8"/>
        <v>3.7833333333333328</v>
      </c>
    </row>
    <row r="56" spans="23:38" x14ac:dyDescent="0.25">
      <c r="X56" s="141" t="str">
        <f>$X$9</f>
        <v>V</v>
      </c>
      <c r="Y56" s="169">
        <f t="shared" si="8"/>
        <v>5.4666666666666668</v>
      </c>
      <c r="Z56" s="167">
        <f t="shared" si="8"/>
        <v>5.1002777777777766</v>
      </c>
      <c r="AA56" s="167">
        <f t="shared" si="8"/>
        <v>5.5416666666666661</v>
      </c>
      <c r="AB56" s="171">
        <f t="shared" si="8"/>
        <v>3.7416666666666663</v>
      </c>
    </row>
    <row r="57" spans="23:38" x14ac:dyDescent="0.25">
      <c r="X57" s="141" t="str">
        <f>$X$10</f>
        <v>E</v>
      </c>
      <c r="Y57" s="169">
        <f t="shared" si="8"/>
        <v>6.4</v>
      </c>
      <c r="Z57" s="167">
        <f t="shared" si="8"/>
        <v>5.5416666666666661</v>
      </c>
      <c r="AA57" s="167">
        <f t="shared" si="8"/>
        <v>8.5</v>
      </c>
      <c r="AB57" s="171">
        <f t="shared" si="8"/>
        <v>3.583333333333333</v>
      </c>
    </row>
    <row r="58" spans="23:38" x14ac:dyDescent="0.25">
      <c r="X58" s="141" t="str">
        <f>$X$11</f>
        <v>Ke</v>
      </c>
      <c r="Y58" s="172">
        <f t="shared" si="8"/>
        <v>3.7833333333333328</v>
      </c>
      <c r="Z58" s="167">
        <f t="shared" si="8"/>
        <v>3.7416666666666663</v>
      </c>
      <c r="AA58" s="167">
        <f t="shared" si="8"/>
        <v>3.583333333333333</v>
      </c>
      <c r="AB58" s="192">
        <f t="shared" si="8"/>
        <v>3.2777777777777768</v>
      </c>
    </row>
    <row r="60" spans="23:38" x14ac:dyDescent="0.25">
      <c r="X60" s="165"/>
      <c r="Y60" s="141" t="str">
        <f>$Y$7</f>
        <v>Ko</v>
      </c>
      <c r="Z60" s="141" t="str">
        <f>$Z$7</f>
        <v>V</v>
      </c>
      <c r="AA60" s="141" t="str">
        <f>$AA$7</f>
        <v>E</v>
      </c>
      <c r="AB60" s="141" t="str">
        <f>$AB$7</f>
        <v>Ke</v>
      </c>
    </row>
    <row r="61" spans="23:38" x14ac:dyDescent="0.25">
      <c r="X61" s="141" t="str">
        <f>$X$8</f>
        <v>Ko</v>
      </c>
      <c r="Y61" s="191">
        <f t="shared" ref="Y61:AB64" si="9">Y55</f>
        <v>8.8224999999999998</v>
      </c>
      <c r="Z61" s="193">
        <f t="shared" si="9"/>
        <v>5.4666666666666668</v>
      </c>
      <c r="AA61" s="193">
        <f t="shared" si="9"/>
        <v>6.4</v>
      </c>
      <c r="AB61" s="194">
        <f t="shared" si="9"/>
        <v>3.7833333333333328</v>
      </c>
    </row>
    <row r="62" spans="23:38" x14ac:dyDescent="0.25">
      <c r="X62" s="141" t="str">
        <f>$X$9</f>
        <v>V</v>
      </c>
      <c r="Y62" s="195">
        <f t="shared" si="9"/>
        <v>5.4666666666666668</v>
      </c>
      <c r="Z62" s="193">
        <f t="shared" si="9"/>
        <v>5.1002777777777766</v>
      </c>
      <c r="AA62" s="193">
        <f t="shared" si="9"/>
        <v>5.5416666666666661</v>
      </c>
      <c r="AB62" s="196">
        <f t="shared" si="9"/>
        <v>3.7416666666666663</v>
      </c>
    </row>
    <row r="63" spans="23:38" x14ac:dyDescent="0.25">
      <c r="X63" s="141" t="str">
        <f>$X$10</f>
        <v>E</v>
      </c>
      <c r="Y63" s="195">
        <f t="shared" si="9"/>
        <v>6.4</v>
      </c>
      <c r="Z63" s="193">
        <f t="shared" si="9"/>
        <v>5.5416666666666661</v>
      </c>
      <c r="AA63" s="193">
        <f t="shared" si="9"/>
        <v>8.5</v>
      </c>
      <c r="AB63" s="196">
        <f t="shared" si="9"/>
        <v>3.583333333333333</v>
      </c>
    </row>
    <row r="64" spans="23:38" x14ac:dyDescent="0.25">
      <c r="X64" s="141" t="str">
        <f>$X$11</f>
        <v>Ke</v>
      </c>
      <c r="Y64" s="197">
        <f t="shared" si="9"/>
        <v>3.7833333333333328</v>
      </c>
      <c r="Z64" s="193">
        <f t="shared" si="9"/>
        <v>3.7416666666666663</v>
      </c>
      <c r="AA64" s="193">
        <f t="shared" si="9"/>
        <v>3.583333333333333</v>
      </c>
      <c r="AB64" s="192">
        <f t="shared" si="9"/>
        <v>3.2777777777777768</v>
      </c>
    </row>
    <row r="66" spans="23:39" x14ac:dyDescent="0.25">
      <c r="W66" s="112" t="s">
        <v>42</v>
      </c>
      <c r="AD66" s="112" t="s">
        <v>43</v>
      </c>
    </row>
    <row r="67" spans="23:39" x14ac:dyDescent="0.25">
      <c r="W67" s="113" t="s">
        <v>44</v>
      </c>
    </row>
    <row r="69" spans="23:39" x14ac:dyDescent="0.25">
      <c r="Y69" s="177">
        <f>(Y55*Y61)+(Z55*Y62)+(AA55*Y63)+(AB55*Y64)</f>
        <v>162.99456180555555</v>
      </c>
      <c r="Z69" s="178">
        <f>(Y55*Z61)+(Z55*Z62)+(AA55*Z63)+(AB55*Z64)</f>
        <v>125.73382407407406</v>
      </c>
      <c r="AA69" s="178">
        <f>(Y55*AA61)+(Z55*AA62)+(AA55*AA63)+(AB55*AA64)</f>
        <v>154.7153888888889</v>
      </c>
      <c r="AB69" s="179">
        <f>(Y55*AB61)+(Z55*AB62)+(AA55*AB63)+(AB55*AB64)</f>
        <v>89.167162037037016</v>
      </c>
    </row>
    <row r="70" spans="23:39" x14ac:dyDescent="0.25">
      <c r="Y70" s="180">
        <f>(Y56*Y61)+(Z56*Y62)+(AA56*Y63)+(AB56*Y64)</f>
        <v>125.73382407407406</v>
      </c>
      <c r="Z70" s="178">
        <f>(Y56*Z61)+(Z56*Z62)+(AA56*Z63)+(AB56*Z64)</f>
        <v>100.60741674382714</v>
      </c>
      <c r="AA70" s="178">
        <f>(Y56*AA61)+(Z56*AA62)+(AA56*AA63)+(AB56*AA64)</f>
        <v>123.76251157407405</v>
      </c>
      <c r="AB70" s="181">
        <f>(Y56*AB61)+(Z56*AB62)+(AA56*AB63)+(AB56*AB64)</f>
        <v>71.88775231481479</v>
      </c>
    </row>
    <row r="71" spans="23:39" x14ac:dyDescent="0.25">
      <c r="Y71" s="180">
        <f>(Y57*Y61)+(Z57*Y62)+(AA57*Y63)+(AB57*Y64)</f>
        <v>154.7153888888889</v>
      </c>
      <c r="Z71" s="178">
        <f>(Y57*Z61)+(Z57*Z62)+(AA57*Z63)+(AB57*Z64)</f>
        <v>123.76251157407405</v>
      </c>
      <c r="AA71" s="178">
        <f>(Y57*AA61)+(Z57*AA62)+(AA57*AA63)+(AB57*AA64)</f>
        <v>156.76034722222221</v>
      </c>
      <c r="AB71" s="181">
        <f>(Y57*AB61)+(Z57*AB62)+(AA57*AB63)+(AB57*AB64)</f>
        <v>87.152106481481468</v>
      </c>
    </row>
    <row r="72" spans="23:39" x14ac:dyDescent="0.25">
      <c r="Y72" s="182">
        <f>(Y58*Y61)+(Z58*Y62)+(AA58*Y63)+(AB58*Y64)</f>
        <v>89.167162037037016</v>
      </c>
      <c r="Z72" s="178">
        <f>(Y58*Z61)+(Z58*Z62)+(AA58*Z63)+(AB58*Z64)</f>
        <v>71.88775231481479</v>
      </c>
      <c r="AA72" s="178">
        <f>(Y58*AA61)+(Z58*AA62)+(AA58*AA63)+(AB58*AA64)</f>
        <v>87.152106481481468</v>
      </c>
      <c r="AB72" s="183">
        <f>(Y58*AB61)+(Z58*AB62)+(AA58*AB63)+(AB58*AB64)</f>
        <v>51.897785493827143</v>
      </c>
    </row>
    <row r="73" spans="23:39" x14ac:dyDescent="0.25">
      <c r="Y73" s="178"/>
      <c r="Z73" s="178"/>
      <c r="AA73" s="178"/>
      <c r="AB73" s="178"/>
    </row>
    <row r="77" spans="23:39" x14ac:dyDescent="0.25">
      <c r="W77" s="358" t="s">
        <v>62</v>
      </c>
      <c r="X77" s="358"/>
      <c r="Y77" s="358"/>
      <c r="Z77" s="358"/>
      <c r="AA77" s="358"/>
      <c r="AB77" s="358"/>
      <c r="AC77" s="358"/>
      <c r="AD77" s="358"/>
      <c r="AE77" s="358"/>
      <c r="AF77" s="358"/>
      <c r="AG77" s="358"/>
      <c r="AH77" s="358"/>
      <c r="AI77" s="358"/>
      <c r="AJ77" s="358"/>
      <c r="AK77" s="358"/>
      <c r="AL77" s="358"/>
      <c r="AM77" s="114"/>
    </row>
    <row r="78" spans="23:39" x14ac:dyDescent="0.25">
      <c r="W78" s="359" t="s">
        <v>63</v>
      </c>
      <c r="X78" s="359"/>
      <c r="Y78" s="359"/>
      <c r="Z78" s="359"/>
      <c r="AA78" s="359"/>
      <c r="AB78" s="359"/>
      <c r="AC78" s="359"/>
      <c r="AD78" s="359"/>
      <c r="AE78" s="359"/>
      <c r="AF78" s="359"/>
      <c r="AG78" s="359"/>
      <c r="AH78" s="359"/>
      <c r="AI78" s="359"/>
      <c r="AJ78" s="359"/>
      <c r="AK78" s="359"/>
      <c r="AL78" s="359"/>
      <c r="AM78" s="115"/>
    </row>
    <row r="79" spans="23:39" ht="15.75" thickBot="1" x14ac:dyDescent="0.3">
      <c r="W79" s="361" t="s">
        <v>64</v>
      </c>
      <c r="X79" s="361"/>
      <c r="Y79" s="361"/>
      <c r="Z79" s="361"/>
      <c r="AA79" s="361"/>
      <c r="AB79" s="361"/>
      <c r="AC79" s="361"/>
      <c r="AD79" s="361"/>
      <c r="AE79" s="361"/>
      <c r="AF79" s="361"/>
      <c r="AG79" s="361"/>
      <c r="AH79" s="361"/>
      <c r="AI79" s="361"/>
      <c r="AJ79" s="361"/>
      <c r="AK79" s="361"/>
      <c r="AL79" s="361"/>
      <c r="AM79" s="116"/>
    </row>
    <row r="80" spans="23:39" ht="15.75" thickTop="1" x14ac:dyDescent="0.25">
      <c r="W80" s="198"/>
      <c r="X80" s="198"/>
      <c r="Y80" s="198"/>
      <c r="Z80" s="198"/>
      <c r="AA80" s="198"/>
      <c r="AB80" s="198"/>
      <c r="AC80" s="198"/>
      <c r="AD80" s="198"/>
      <c r="AE80" s="198"/>
      <c r="AF80" s="198"/>
      <c r="AG80" s="198"/>
      <c r="AH80" s="198"/>
      <c r="AI80" s="198"/>
      <c r="AJ80" s="198"/>
      <c r="AK80" s="198"/>
      <c r="AL80" s="198"/>
      <c r="AM80" s="116"/>
    </row>
    <row r="81" spans="23:38" x14ac:dyDescent="0.25">
      <c r="W81" s="199" t="s">
        <v>46</v>
      </c>
    </row>
    <row r="82" spans="23:38" x14ac:dyDescent="0.25">
      <c r="AL82" s="185" t="s">
        <v>48</v>
      </c>
    </row>
    <row r="83" spans="23:38" x14ac:dyDescent="0.25">
      <c r="AC83" s="177">
        <f>Y69</f>
        <v>162.99456180555555</v>
      </c>
      <c r="AD83" s="141" t="s">
        <v>47</v>
      </c>
      <c r="AE83" s="178">
        <f>Z69</f>
        <v>125.73382407407406</v>
      </c>
      <c r="AF83" s="141" t="s">
        <v>47</v>
      </c>
      <c r="AG83" s="178">
        <f>AA69</f>
        <v>154.7153888888889</v>
      </c>
      <c r="AH83" s="141" t="s">
        <v>47</v>
      </c>
      <c r="AI83" s="179">
        <f>AB69</f>
        <v>89.167162037037016</v>
      </c>
      <c r="AJ83" s="141" t="s">
        <v>45</v>
      </c>
      <c r="AK83" s="186">
        <f>AC83+AE83+AG83+AI83</f>
        <v>532.61093680555553</v>
      </c>
      <c r="AL83" s="187">
        <f>AK83/$AK$87</f>
        <v>0.29970832001815145</v>
      </c>
    </row>
    <row r="84" spans="23:38" x14ac:dyDescent="0.25">
      <c r="AC84" s="180">
        <f>Y70</f>
        <v>125.73382407407406</v>
      </c>
      <c r="AD84" s="141" t="s">
        <v>47</v>
      </c>
      <c r="AE84" s="178">
        <f>Z70</f>
        <v>100.60741674382714</v>
      </c>
      <c r="AF84" s="141" t="s">
        <v>47</v>
      </c>
      <c r="AG84" s="178">
        <f>AA70</f>
        <v>123.76251157407405</v>
      </c>
      <c r="AH84" s="141" t="s">
        <v>47</v>
      </c>
      <c r="AI84" s="181">
        <f>AB70</f>
        <v>71.88775231481479</v>
      </c>
      <c r="AJ84" s="141" t="s">
        <v>45</v>
      </c>
      <c r="AK84" s="186">
        <f>AC84+AE84+AG84+AI84</f>
        <v>421.99150470679007</v>
      </c>
      <c r="AL84" s="187">
        <f>AK84/$AK$87</f>
        <v>0.23746107373641279</v>
      </c>
    </row>
    <row r="85" spans="23:38" x14ac:dyDescent="0.25">
      <c r="AC85" s="180">
        <f>Y71</f>
        <v>154.7153888888889</v>
      </c>
      <c r="AD85" s="141" t="s">
        <v>47</v>
      </c>
      <c r="AE85" s="178">
        <f>Z71</f>
        <v>123.76251157407405</v>
      </c>
      <c r="AF85" s="141" t="s">
        <v>47</v>
      </c>
      <c r="AG85" s="178">
        <f>AA71</f>
        <v>156.76034722222221</v>
      </c>
      <c r="AH85" s="141" t="s">
        <v>47</v>
      </c>
      <c r="AI85" s="181">
        <f>AB71</f>
        <v>87.152106481481468</v>
      </c>
      <c r="AJ85" s="141" t="s">
        <v>45</v>
      </c>
      <c r="AK85" s="186">
        <f>AC85+AE85+AG85+AI85</f>
        <v>522.39035416666661</v>
      </c>
      <c r="AL85" s="187">
        <f>AK85/$AK$87</f>
        <v>0.29395704185123994</v>
      </c>
    </row>
    <row r="86" spans="23:38" x14ac:dyDescent="0.25">
      <c r="AC86" s="182">
        <f>Y72</f>
        <v>89.167162037037016</v>
      </c>
      <c r="AD86" s="141" t="s">
        <v>47</v>
      </c>
      <c r="AE86" s="178">
        <f>Z72</f>
        <v>71.88775231481479</v>
      </c>
      <c r="AF86" s="141" t="s">
        <v>47</v>
      </c>
      <c r="AG86" s="178">
        <f>AA72</f>
        <v>87.152106481481468</v>
      </c>
      <c r="AH86" s="141" t="s">
        <v>47</v>
      </c>
      <c r="AI86" s="183">
        <f>AB72</f>
        <v>51.897785493827143</v>
      </c>
      <c r="AJ86" s="141" t="s">
        <v>45</v>
      </c>
      <c r="AK86" s="188">
        <f>AC86+AE86+AG86+AI86</f>
        <v>300.10480632716042</v>
      </c>
      <c r="AL86" s="188">
        <f>AK86/$AK$87</f>
        <v>0.16887356439419585</v>
      </c>
    </row>
    <row r="87" spans="23:38" x14ac:dyDescent="0.25">
      <c r="AK87" s="189">
        <f>SUM(AK83:AK86)</f>
        <v>1777.0976020061726</v>
      </c>
      <c r="AL87" s="189">
        <f>SUM(AL83:AL86)</f>
        <v>1</v>
      </c>
    </row>
    <row r="88" spans="23:38" x14ac:dyDescent="0.25">
      <c r="W88" s="112" t="s">
        <v>52</v>
      </c>
    </row>
    <row r="90" spans="23:38" x14ac:dyDescent="0.25">
      <c r="Y90" s="177">
        <f>AL46</f>
        <v>0.29579777197305956</v>
      </c>
      <c r="Z90" s="141" t="s">
        <v>53</v>
      </c>
      <c r="AA90" s="179">
        <f>AL83</f>
        <v>0.29970832001815145</v>
      </c>
      <c r="AB90" s="141" t="s">
        <v>45</v>
      </c>
      <c r="AC90" s="186">
        <f>Y90-AA90</f>
        <v>-3.9105480450918884E-3</v>
      </c>
    </row>
    <row r="91" spans="23:38" x14ac:dyDescent="0.25">
      <c r="Y91" s="180">
        <f>AL47</f>
        <v>0.23992922421955268</v>
      </c>
      <c r="Z91" s="141" t="s">
        <v>53</v>
      </c>
      <c r="AA91" s="181">
        <f>AL84</f>
        <v>0.23746107373641279</v>
      </c>
      <c r="AB91" s="141" t="s">
        <v>45</v>
      </c>
      <c r="AC91" s="186">
        <f t="shared" ref="AC91:AC93" si="10">Y91-AA91</f>
        <v>2.4681504831398915E-3</v>
      </c>
    </row>
    <row r="92" spans="23:38" x14ac:dyDescent="0.25">
      <c r="Y92" s="180">
        <f>AL48</f>
        <v>0.29038886389427959</v>
      </c>
      <c r="Z92" s="141" t="s">
        <v>53</v>
      </c>
      <c r="AA92" s="181">
        <f>AL85</f>
        <v>0.29395704185123994</v>
      </c>
      <c r="AB92" s="141" t="s">
        <v>45</v>
      </c>
      <c r="AC92" s="186">
        <f t="shared" si="10"/>
        <v>-3.56817795696035E-3</v>
      </c>
    </row>
    <row r="93" spans="23:38" x14ac:dyDescent="0.25">
      <c r="Y93" s="182">
        <f>AL49</f>
        <v>0.17388413991310828</v>
      </c>
      <c r="Z93" s="141" t="s">
        <v>53</v>
      </c>
      <c r="AA93" s="183">
        <f>AL86</f>
        <v>0.16887356439419585</v>
      </c>
      <c r="AB93" s="141" t="s">
        <v>45</v>
      </c>
      <c r="AC93" s="186">
        <f t="shared" si="10"/>
        <v>5.0105755189124301E-3</v>
      </c>
    </row>
    <row r="94" spans="23:38" x14ac:dyDescent="0.25">
      <c r="AB94" s="141"/>
    </row>
    <row r="95" spans="23:38" x14ac:dyDescent="0.25">
      <c r="W95" s="112" t="s">
        <v>54</v>
      </c>
    </row>
    <row r="97" spans="24:73" x14ac:dyDescent="0.25">
      <c r="X97" s="112" t="s">
        <v>1</v>
      </c>
      <c r="Z97" s="186">
        <f>Y90</f>
        <v>0.29579777197305956</v>
      </c>
      <c r="AA97" s="112" t="s">
        <v>57</v>
      </c>
      <c r="AB97" s="200">
        <f>Z97*100</f>
        <v>29.579777197305958</v>
      </c>
      <c r="AC97" s="112" t="s">
        <v>58</v>
      </c>
    </row>
    <row r="98" spans="24:73" x14ac:dyDescent="0.25">
      <c r="X98" s="112" t="s">
        <v>55</v>
      </c>
      <c r="Z98" s="186">
        <f t="shared" ref="Z98:Z100" si="11">Y91</f>
        <v>0.23992922421955268</v>
      </c>
      <c r="AA98" s="112" t="s">
        <v>57</v>
      </c>
      <c r="AB98" s="200">
        <f t="shared" ref="AB98:AB100" si="12">Z98*100</f>
        <v>23.992922421955267</v>
      </c>
      <c r="AC98" s="112" t="s">
        <v>58</v>
      </c>
    </row>
    <row r="99" spans="24:73" x14ac:dyDescent="0.25">
      <c r="X99" s="112" t="s">
        <v>11</v>
      </c>
      <c r="Z99" s="186">
        <f t="shared" si="11"/>
        <v>0.29038886389427959</v>
      </c>
      <c r="AA99" s="112" t="s">
        <v>57</v>
      </c>
      <c r="AB99" s="200">
        <f t="shared" si="12"/>
        <v>29.038886389427958</v>
      </c>
      <c r="AC99" s="112" t="s">
        <v>58</v>
      </c>
    </row>
    <row r="100" spans="24:73" x14ac:dyDescent="0.25">
      <c r="X100" s="112" t="s">
        <v>13</v>
      </c>
      <c r="Z100" s="186">
        <f t="shared" si="11"/>
        <v>0.17388413991310828</v>
      </c>
      <c r="AA100" s="112" t="s">
        <v>57</v>
      </c>
      <c r="AB100" s="200">
        <f t="shared" si="12"/>
        <v>17.388413991310827</v>
      </c>
      <c r="AC100" s="112" t="s">
        <v>58</v>
      </c>
    </row>
    <row r="102" spans="24:73" x14ac:dyDescent="0.25">
      <c r="BQ102" s="113" t="s">
        <v>169</v>
      </c>
    </row>
    <row r="103" spans="24:73" x14ac:dyDescent="0.25">
      <c r="AO103" s="358" t="s">
        <v>62</v>
      </c>
      <c r="AP103" s="358"/>
      <c r="AQ103" s="358"/>
      <c r="AR103" s="358"/>
      <c r="AS103" s="358"/>
      <c r="AT103" s="358"/>
      <c r="AU103" s="358"/>
      <c r="AV103" s="358"/>
      <c r="AW103" s="358"/>
      <c r="AX103" s="358"/>
      <c r="AY103" s="358"/>
      <c r="AZ103" s="358"/>
      <c r="BA103" s="358"/>
      <c r="BB103" s="358"/>
      <c r="BC103" s="358"/>
      <c r="BD103" s="358"/>
      <c r="BE103" s="358"/>
      <c r="BF103" s="358"/>
      <c r="BG103" s="358"/>
      <c r="BH103" s="358"/>
      <c r="BI103" s="358"/>
      <c r="BJ103" s="358"/>
      <c r="BK103" s="358"/>
      <c r="BL103" s="358"/>
      <c r="BM103" s="358"/>
      <c r="BN103" s="358"/>
      <c r="BO103" s="358"/>
      <c r="BP103" s="358"/>
      <c r="BQ103" s="358"/>
      <c r="BR103" s="358"/>
      <c r="BS103" s="358"/>
      <c r="BT103" s="358"/>
    </row>
    <row r="104" spans="24:73" ht="15" customHeight="1" x14ac:dyDescent="0.25">
      <c r="AO104" s="359" t="s">
        <v>63</v>
      </c>
      <c r="AP104" s="359"/>
      <c r="AQ104" s="359"/>
      <c r="AR104" s="359"/>
      <c r="AS104" s="359"/>
      <c r="AT104" s="359"/>
      <c r="AU104" s="359"/>
      <c r="AV104" s="359"/>
      <c r="AW104" s="359"/>
      <c r="AX104" s="359"/>
      <c r="AY104" s="359"/>
      <c r="AZ104" s="359"/>
      <c r="BA104" s="359"/>
      <c r="BB104" s="359"/>
      <c r="BC104" s="359"/>
      <c r="BD104" s="359"/>
      <c r="BE104" s="359"/>
      <c r="BF104" s="359"/>
      <c r="BG104" s="359"/>
      <c r="BH104" s="359"/>
      <c r="BI104" s="359"/>
      <c r="BJ104" s="359"/>
      <c r="BK104" s="359"/>
      <c r="BL104" s="359"/>
      <c r="BM104" s="359"/>
      <c r="BN104" s="359"/>
      <c r="BO104" s="359"/>
      <c r="BP104" s="359"/>
      <c r="BQ104" s="359"/>
      <c r="BR104" s="359"/>
      <c r="BS104" s="359"/>
      <c r="BT104" s="359"/>
    </row>
    <row r="105" spans="24:73" x14ac:dyDescent="0.25">
      <c r="AO105" s="360" t="s">
        <v>64</v>
      </c>
      <c r="AP105" s="360"/>
      <c r="AQ105" s="360"/>
      <c r="AR105" s="360"/>
      <c r="AS105" s="360"/>
      <c r="AT105" s="360"/>
      <c r="AU105" s="360"/>
      <c r="AV105" s="360"/>
      <c r="AW105" s="360"/>
      <c r="AX105" s="360"/>
      <c r="AY105" s="360"/>
      <c r="AZ105" s="360"/>
      <c r="BA105" s="360"/>
      <c r="BB105" s="360"/>
      <c r="BC105" s="360"/>
      <c r="BD105" s="360"/>
      <c r="BE105" s="360"/>
      <c r="BF105" s="360"/>
      <c r="BG105" s="360"/>
      <c r="BH105" s="360"/>
      <c r="BI105" s="360"/>
      <c r="BJ105" s="360"/>
      <c r="BK105" s="360"/>
      <c r="BL105" s="360"/>
      <c r="BM105" s="360"/>
      <c r="BN105" s="360"/>
      <c r="BO105" s="360"/>
      <c r="BP105" s="360"/>
      <c r="BQ105" s="360"/>
      <c r="BR105" s="360"/>
      <c r="BS105" s="360"/>
      <c r="BT105" s="360"/>
    </row>
    <row r="106" spans="24:73" ht="6" customHeight="1" thickBot="1" x14ac:dyDescent="0.3">
      <c r="AO106" s="361"/>
      <c r="AP106" s="361"/>
      <c r="AQ106" s="361"/>
      <c r="AR106" s="361"/>
      <c r="AS106" s="361"/>
      <c r="AT106" s="361"/>
      <c r="AU106" s="361"/>
      <c r="AV106" s="361"/>
      <c r="AW106" s="361"/>
      <c r="AX106" s="361"/>
      <c r="AY106" s="361"/>
      <c r="AZ106" s="361"/>
      <c r="BA106" s="361"/>
      <c r="BB106" s="361"/>
      <c r="BC106" s="361"/>
      <c r="BD106" s="361"/>
      <c r="BE106" s="361"/>
      <c r="BF106" s="361"/>
      <c r="BG106" s="361"/>
      <c r="BH106" s="361"/>
      <c r="BI106" s="361"/>
      <c r="BJ106" s="361"/>
      <c r="BK106" s="361"/>
      <c r="BL106" s="361"/>
      <c r="BM106" s="361"/>
      <c r="BN106" s="361"/>
      <c r="BO106" s="361"/>
      <c r="BP106" s="361"/>
      <c r="BQ106" s="361"/>
      <c r="BR106" s="361"/>
      <c r="BS106" s="361"/>
      <c r="BT106" s="361"/>
    </row>
    <row r="107" spans="24:73" ht="15.75" thickTop="1" x14ac:dyDescent="0.25">
      <c r="AP107" s="116"/>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row>
    <row r="108" spans="24:73" ht="15.75" x14ac:dyDescent="0.25">
      <c r="AP108" s="362" t="s">
        <v>170</v>
      </c>
      <c r="AQ108" s="362"/>
      <c r="AR108" s="362"/>
      <c r="AS108" s="362"/>
      <c r="AT108" s="362"/>
      <c r="AU108" s="362"/>
      <c r="AV108" s="362"/>
      <c r="AW108" s="362"/>
      <c r="AX108" s="362"/>
      <c r="AY108" s="362"/>
      <c r="AZ108" s="362"/>
      <c r="BA108" s="362"/>
      <c r="BB108" s="362"/>
      <c r="BC108" s="362"/>
      <c r="BD108" s="362"/>
      <c r="BE108" s="362"/>
      <c r="BF108" s="362"/>
      <c r="BG108" s="362"/>
      <c r="BH108" s="362"/>
      <c r="BI108" s="362"/>
      <c r="BJ108" s="362"/>
      <c r="BK108" s="362"/>
      <c r="BL108" s="362"/>
      <c r="BM108" s="362"/>
      <c r="BN108" s="362"/>
      <c r="BO108" s="362"/>
      <c r="BP108" s="362"/>
      <c r="BQ108" s="362"/>
      <c r="BR108" s="362"/>
      <c r="BS108" s="362"/>
      <c r="BT108" s="362"/>
      <c r="BU108" s="141"/>
    </row>
    <row r="109" spans="24:73" x14ac:dyDescent="0.25">
      <c r="AP109" s="116"/>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row>
    <row r="110" spans="24:73" x14ac:dyDescent="0.25">
      <c r="AP110" s="116"/>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row>
    <row r="111" spans="24:73" x14ac:dyDescent="0.25">
      <c r="AO111" s="116"/>
      <c r="AQ111" s="201"/>
      <c r="AR111" s="201"/>
      <c r="AS111" s="201"/>
      <c r="AT111" s="201"/>
      <c r="AU111" s="201"/>
      <c r="AV111" s="201"/>
      <c r="AW111" s="201"/>
      <c r="AX111" s="201"/>
      <c r="AY111" s="201"/>
      <c r="AZ111" s="201"/>
      <c r="BA111" s="201"/>
      <c r="BB111" s="201"/>
      <c r="BC111" s="201"/>
      <c r="BD111" s="201"/>
      <c r="BE111" s="201"/>
      <c r="BF111" s="201"/>
      <c r="BG111" s="201"/>
      <c r="BH111" s="201"/>
      <c r="BI111" s="201"/>
      <c r="BJ111" s="201"/>
      <c r="BK111" s="201"/>
      <c r="BL111" s="201"/>
      <c r="BM111" s="201"/>
      <c r="BN111" s="201"/>
      <c r="BS111" s="201"/>
    </row>
    <row r="112" spans="24:73" x14ac:dyDescent="0.25">
      <c r="AO112" s="142"/>
      <c r="AP112" s="116"/>
      <c r="AQ112" s="356" t="s">
        <v>84</v>
      </c>
      <c r="AR112" s="357"/>
      <c r="AS112" s="356" t="s">
        <v>71</v>
      </c>
      <c r="AT112" s="357"/>
      <c r="AU112" s="356" t="s">
        <v>72</v>
      </c>
      <c r="AV112" s="357"/>
      <c r="AW112" s="356" t="s">
        <v>242</v>
      </c>
      <c r="AX112" s="357"/>
      <c r="AY112" s="356" t="s">
        <v>73</v>
      </c>
      <c r="AZ112" s="357"/>
      <c r="BA112" s="356" t="s">
        <v>74</v>
      </c>
      <c r="BB112" s="357"/>
      <c r="BC112" s="356" t="s">
        <v>243</v>
      </c>
      <c r="BD112" s="357"/>
      <c r="BE112" s="356" t="s">
        <v>75</v>
      </c>
      <c r="BF112" s="357"/>
      <c r="BG112" s="356" t="s">
        <v>244</v>
      </c>
      <c r="BH112" s="357"/>
      <c r="BI112" s="356" t="s">
        <v>245</v>
      </c>
      <c r="BJ112" s="357"/>
      <c r="BK112" s="256"/>
      <c r="BL112" s="257"/>
      <c r="BM112" s="257"/>
      <c r="BN112" s="257"/>
      <c r="BO112" s="257"/>
      <c r="BP112" s="257"/>
      <c r="BQ112" s="257"/>
      <c r="BR112" s="257"/>
      <c r="BS112" s="257"/>
      <c r="BT112" s="257"/>
    </row>
    <row r="113" spans="36:73" s="201" customFormat="1" x14ac:dyDescent="0.25">
      <c r="AJ113" s="273"/>
      <c r="AO113" s="274"/>
      <c r="AP113" s="207" t="s">
        <v>65</v>
      </c>
      <c r="AQ113" s="259">
        <v>4</v>
      </c>
      <c r="AR113" s="260"/>
      <c r="AS113" s="259">
        <v>3</v>
      </c>
      <c r="AT113" s="260"/>
      <c r="AU113" s="259"/>
      <c r="AV113" s="260">
        <v>4</v>
      </c>
      <c r="AW113" s="259">
        <v>3</v>
      </c>
      <c r="AX113" s="260"/>
      <c r="AY113" s="259">
        <v>4</v>
      </c>
      <c r="AZ113" s="260"/>
      <c r="BA113" s="259"/>
      <c r="BB113" s="260">
        <v>7</v>
      </c>
      <c r="BC113" s="259">
        <v>3</v>
      </c>
      <c r="BD113" s="260"/>
      <c r="BE113" s="259"/>
      <c r="BF113" s="260">
        <v>3</v>
      </c>
      <c r="BG113" s="259">
        <v>4</v>
      </c>
      <c r="BH113" s="260"/>
      <c r="BI113" s="259">
        <v>4</v>
      </c>
      <c r="BJ113" s="260"/>
      <c r="BK113" s="256"/>
      <c r="BL113" s="257"/>
      <c r="BM113" s="257"/>
      <c r="BN113" s="257"/>
      <c r="BO113" s="257"/>
      <c r="BP113" s="257"/>
      <c r="BQ113" s="257"/>
      <c r="BR113" s="257"/>
      <c r="BS113" s="257"/>
      <c r="BT113" s="257"/>
      <c r="BU113" s="273"/>
    </row>
    <row r="114" spans="36:73" s="201" customFormat="1" x14ac:dyDescent="0.25">
      <c r="AJ114" s="273"/>
      <c r="AP114" s="203" t="s">
        <v>66</v>
      </c>
      <c r="AQ114" s="261">
        <v>4</v>
      </c>
      <c r="AR114" s="262"/>
      <c r="AS114" s="261">
        <v>3</v>
      </c>
      <c r="AT114" s="262"/>
      <c r="AU114" s="261"/>
      <c r="AV114" s="262">
        <v>3</v>
      </c>
      <c r="AW114" s="261">
        <v>3</v>
      </c>
      <c r="AX114" s="262"/>
      <c r="AY114" s="261"/>
      <c r="AZ114" s="262">
        <v>3</v>
      </c>
      <c r="BA114" s="261"/>
      <c r="BB114" s="262">
        <v>3</v>
      </c>
      <c r="BC114" s="261">
        <v>2</v>
      </c>
      <c r="BD114" s="262"/>
      <c r="BE114" s="261">
        <v>4</v>
      </c>
      <c r="BF114" s="262"/>
      <c r="BG114" s="261">
        <v>3</v>
      </c>
      <c r="BH114" s="262"/>
      <c r="BI114" s="261">
        <v>3</v>
      </c>
      <c r="BJ114" s="262"/>
      <c r="BK114" s="256"/>
      <c r="BL114" s="257"/>
      <c r="BM114" s="257"/>
      <c r="BN114" s="257"/>
      <c r="BO114" s="257"/>
      <c r="BP114" s="257"/>
      <c r="BQ114" s="257"/>
      <c r="BR114" s="257"/>
      <c r="BS114" s="257"/>
      <c r="BT114" s="257"/>
      <c r="BU114" s="273"/>
    </row>
    <row r="115" spans="36:73" s="201" customFormat="1" x14ac:dyDescent="0.25">
      <c r="AJ115" s="273"/>
      <c r="AP115" s="203" t="s">
        <v>67</v>
      </c>
      <c r="AQ115" s="261"/>
      <c r="AR115" s="262">
        <v>2</v>
      </c>
      <c r="AS115" s="261">
        <v>3</v>
      </c>
      <c r="AT115" s="262"/>
      <c r="AU115" s="261"/>
      <c r="AV115" s="262">
        <v>3</v>
      </c>
      <c r="AW115" s="261">
        <v>3</v>
      </c>
      <c r="AX115" s="262"/>
      <c r="AY115" s="261">
        <v>4</v>
      </c>
      <c r="AZ115" s="262"/>
      <c r="BA115" s="261"/>
      <c r="BB115" s="262">
        <v>2</v>
      </c>
      <c r="BC115" s="261">
        <v>3</v>
      </c>
      <c r="BD115" s="262"/>
      <c r="BE115" s="261"/>
      <c r="BF115" s="262">
        <v>2</v>
      </c>
      <c r="BG115" s="261">
        <v>3</v>
      </c>
      <c r="BH115" s="262"/>
      <c r="BI115" s="261">
        <v>3</v>
      </c>
      <c r="BJ115" s="262"/>
      <c r="BK115" s="256"/>
      <c r="BL115" s="257"/>
      <c r="BM115" s="257"/>
      <c r="BN115" s="257"/>
      <c r="BO115" s="257"/>
      <c r="BP115" s="257"/>
      <c r="BQ115" s="257"/>
      <c r="BR115" s="257"/>
      <c r="BS115" s="257"/>
      <c r="BT115" s="257"/>
      <c r="BU115" s="273"/>
    </row>
    <row r="116" spans="36:73" s="201" customFormat="1" x14ac:dyDescent="0.25">
      <c r="AJ116" s="273"/>
      <c r="AP116" s="203" t="s">
        <v>68</v>
      </c>
      <c r="AQ116" s="261">
        <v>4</v>
      </c>
      <c r="AR116" s="262"/>
      <c r="AS116" s="261">
        <v>4</v>
      </c>
      <c r="AT116" s="262"/>
      <c r="AU116" s="261">
        <v>5</v>
      </c>
      <c r="AV116" s="262"/>
      <c r="AW116" s="261">
        <v>3</v>
      </c>
      <c r="AX116" s="262"/>
      <c r="AY116" s="261"/>
      <c r="AZ116" s="262">
        <v>2</v>
      </c>
      <c r="BA116" s="261"/>
      <c r="BB116" s="262">
        <v>2</v>
      </c>
      <c r="BC116" s="261"/>
      <c r="BD116" s="262">
        <v>2</v>
      </c>
      <c r="BE116" s="261">
        <v>3</v>
      </c>
      <c r="BF116" s="262"/>
      <c r="BG116" s="261">
        <v>2</v>
      </c>
      <c r="BH116" s="262"/>
      <c r="BI116" s="261"/>
      <c r="BJ116" s="262">
        <v>3</v>
      </c>
      <c r="BK116" s="256"/>
      <c r="BL116" s="257"/>
      <c r="BM116" s="257"/>
      <c r="BN116" s="257"/>
      <c r="BO116" s="257"/>
      <c r="BP116" s="257"/>
      <c r="BQ116" s="257"/>
      <c r="BR116" s="257"/>
      <c r="BS116" s="257"/>
      <c r="BT116" s="257"/>
      <c r="BU116" s="273"/>
    </row>
    <row r="117" spans="36:73" s="201" customFormat="1" x14ac:dyDescent="0.25">
      <c r="AJ117" s="273"/>
      <c r="AP117" s="203" t="s">
        <v>69</v>
      </c>
      <c r="AQ117" s="261">
        <v>4</v>
      </c>
      <c r="AR117" s="262"/>
      <c r="AS117" s="261">
        <v>4</v>
      </c>
      <c r="AT117" s="262"/>
      <c r="AU117" s="261">
        <v>3</v>
      </c>
      <c r="AV117" s="262"/>
      <c r="AW117" s="261">
        <v>3</v>
      </c>
      <c r="AX117" s="262"/>
      <c r="AY117" s="261"/>
      <c r="AZ117" s="262">
        <v>5</v>
      </c>
      <c r="BA117" s="261">
        <v>5</v>
      </c>
      <c r="BB117" s="262"/>
      <c r="BC117" s="261">
        <v>2</v>
      </c>
      <c r="BD117" s="262"/>
      <c r="BE117" s="261">
        <v>5</v>
      </c>
      <c r="BF117" s="262"/>
      <c r="BG117" s="261"/>
      <c r="BH117" s="262">
        <v>2</v>
      </c>
      <c r="BI117" s="261"/>
      <c r="BJ117" s="262">
        <v>3</v>
      </c>
      <c r="BK117" s="256"/>
      <c r="BL117" s="257"/>
      <c r="BM117" s="257"/>
      <c r="BN117" s="257"/>
      <c r="BO117" s="257"/>
      <c r="BP117" s="257"/>
      <c r="BQ117" s="257"/>
      <c r="BR117" s="257"/>
      <c r="BS117" s="257"/>
      <c r="BT117" s="257"/>
      <c r="BU117" s="273"/>
    </row>
    <row r="118" spans="36:73" s="201" customFormat="1" x14ac:dyDescent="0.25">
      <c r="AJ118" s="273"/>
      <c r="AP118" s="203" t="s">
        <v>70</v>
      </c>
      <c r="AQ118" s="261">
        <v>3</v>
      </c>
      <c r="AR118" s="262"/>
      <c r="AS118" s="261">
        <v>2</v>
      </c>
      <c r="AT118" s="262"/>
      <c r="AU118" s="261"/>
      <c r="AV118" s="262">
        <v>6</v>
      </c>
      <c r="AW118" s="261"/>
      <c r="AX118" s="262">
        <v>3</v>
      </c>
      <c r="AY118" s="261"/>
      <c r="AZ118" s="262">
        <v>5</v>
      </c>
      <c r="BA118" s="261"/>
      <c r="BB118" s="262">
        <v>7</v>
      </c>
      <c r="BC118" s="261"/>
      <c r="BD118" s="262">
        <v>1</v>
      </c>
      <c r="BE118" s="261"/>
      <c r="BF118" s="262">
        <v>6</v>
      </c>
      <c r="BG118" s="261">
        <v>4</v>
      </c>
      <c r="BH118" s="262"/>
      <c r="BI118" s="261"/>
      <c r="BJ118" s="262">
        <v>4</v>
      </c>
      <c r="BK118" s="256"/>
      <c r="BL118" s="257"/>
      <c r="BM118" s="257"/>
      <c r="BN118" s="257"/>
      <c r="BO118" s="257"/>
      <c r="BP118" s="257"/>
      <c r="BQ118" s="257"/>
      <c r="BR118" s="257"/>
      <c r="BS118" s="257"/>
      <c r="BT118" s="257"/>
      <c r="BU118" s="273"/>
    </row>
    <row r="119" spans="36:73" s="201" customFormat="1" x14ac:dyDescent="0.25">
      <c r="AJ119" s="273"/>
      <c r="AP119" s="203" t="s">
        <v>81</v>
      </c>
      <c r="AQ119" s="261">
        <v>3</v>
      </c>
      <c r="AR119" s="262"/>
      <c r="AS119" s="261">
        <v>2</v>
      </c>
      <c r="AT119" s="262"/>
      <c r="AU119" s="261">
        <v>5</v>
      </c>
      <c r="AV119" s="262"/>
      <c r="AW119" s="261">
        <v>3</v>
      </c>
      <c r="AX119" s="262"/>
      <c r="AY119" s="261">
        <v>5</v>
      </c>
      <c r="AZ119" s="262"/>
      <c r="BA119" s="261">
        <v>5</v>
      </c>
      <c r="BB119" s="262"/>
      <c r="BC119" s="261">
        <v>3</v>
      </c>
      <c r="BD119" s="262"/>
      <c r="BE119" s="261">
        <v>1</v>
      </c>
      <c r="BF119" s="262"/>
      <c r="BG119" s="261">
        <v>3</v>
      </c>
      <c r="BH119" s="262"/>
      <c r="BI119" s="261">
        <v>3</v>
      </c>
      <c r="BJ119" s="262"/>
      <c r="BK119" s="256"/>
      <c r="BL119" s="257"/>
      <c r="BM119" s="257"/>
      <c r="BN119" s="257"/>
      <c r="BO119" s="257"/>
      <c r="BP119" s="257"/>
      <c r="BQ119" s="257"/>
      <c r="BR119" s="257"/>
      <c r="BS119" s="257"/>
      <c r="BT119" s="257"/>
      <c r="BU119" s="273"/>
    </row>
    <row r="120" spans="36:73" s="201" customFormat="1" x14ac:dyDescent="0.25">
      <c r="AJ120" s="273"/>
      <c r="AP120" s="203" t="s">
        <v>82</v>
      </c>
      <c r="AQ120" s="261"/>
      <c r="AR120" s="262">
        <v>4</v>
      </c>
      <c r="AS120" s="261"/>
      <c r="AT120" s="262">
        <v>5</v>
      </c>
      <c r="AU120" s="261"/>
      <c r="AV120" s="262">
        <v>4</v>
      </c>
      <c r="AW120" s="261"/>
      <c r="AX120" s="262">
        <v>5</v>
      </c>
      <c r="AY120" s="261"/>
      <c r="AZ120" s="262">
        <v>5</v>
      </c>
      <c r="BA120" s="261"/>
      <c r="BB120" s="262">
        <v>3</v>
      </c>
      <c r="BC120" s="261"/>
      <c r="BD120" s="262">
        <v>4</v>
      </c>
      <c r="BE120" s="261">
        <v>4</v>
      </c>
      <c r="BF120" s="262"/>
      <c r="BG120" s="261"/>
      <c r="BH120" s="262">
        <v>3</v>
      </c>
      <c r="BI120" s="261">
        <v>4</v>
      </c>
      <c r="BJ120" s="262"/>
      <c r="BK120" s="256"/>
      <c r="BL120" s="257"/>
      <c r="BM120" s="257"/>
      <c r="BN120" s="257"/>
      <c r="BO120" s="257"/>
      <c r="BP120" s="257"/>
      <c r="BQ120" s="257"/>
      <c r="BR120" s="257"/>
      <c r="BS120" s="257"/>
      <c r="BT120" s="257"/>
      <c r="BU120" s="273"/>
    </row>
    <row r="121" spans="36:73" s="201" customFormat="1" x14ac:dyDescent="0.25">
      <c r="AJ121" s="273"/>
      <c r="AP121" s="203" t="s">
        <v>83</v>
      </c>
      <c r="AQ121" s="261"/>
      <c r="AR121" s="262">
        <v>1</v>
      </c>
      <c r="AS121" s="261">
        <v>4</v>
      </c>
      <c r="AT121" s="262"/>
      <c r="AU121" s="261">
        <v>5</v>
      </c>
      <c r="AV121" s="262"/>
      <c r="AW121" s="261">
        <v>2</v>
      </c>
      <c r="AX121" s="262"/>
      <c r="AY121" s="261">
        <v>5</v>
      </c>
      <c r="AZ121" s="262"/>
      <c r="BA121" s="261">
        <v>5</v>
      </c>
      <c r="BB121" s="262"/>
      <c r="BC121" s="261">
        <v>2</v>
      </c>
      <c r="BD121" s="262"/>
      <c r="BE121" s="261">
        <v>5</v>
      </c>
      <c r="BF121" s="262"/>
      <c r="BG121" s="261">
        <v>2</v>
      </c>
      <c r="BH121" s="262"/>
      <c r="BI121" s="261">
        <v>3</v>
      </c>
      <c r="BJ121" s="262"/>
      <c r="BK121" s="256"/>
      <c r="BL121" s="257"/>
      <c r="BM121" s="257"/>
      <c r="BN121" s="257"/>
      <c r="BO121" s="257"/>
      <c r="BP121" s="257"/>
      <c r="BQ121" s="257"/>
      <c r="BR121" s="257"/>
      <c r="BS121" s="257"/>
      <c r="BT121" s="257"/>
      <c r="BU121" s="273"/>
    </row>
    <row r="122" spans="36:73" s="201" customFormat="1" x14ac:dyDescent="0.25">
      <c r="AJ122" s="273"/>
      <c r="AP122" s="203" t="s">
        <v>94</v>
      </c>
      <c r="AQ122" s="261"/>
      <c r="AR122" s="262">
        <v>4</v>
      </c>
      <c r="AS122" s="261"/>
      <c r="AT122" s="262">
        <v>4</v>
      </c>
      <c r="AU122" s="261"/>
      <c r="AV122" s="262">
        <v>4</v>
      </c>
      <c r="AW122" s="261"/>
      <c r="AX122" s="262">
        <v>4</v>
      </c>
      <c r="AY122" s="261"/>
      <c r="AZ122" s="262">
        <v>7</v>
      </c>
      <c r="BA122" s="261"/>
      <c r="BB122" s="262">
        <v>7</v>
      </c>
      <c r="BC122" s="261"/>
      <c r="BD122" s="262">
        <v>4</v>
      </c>
      <c r="BE122" s="261"/>
      <c r="BF122" s="262">
        <v>5</v>
      </c>
      <c r="BG122" s="261"/>
      <c r="BH122" s="262">
        <v>2</v>
      </c>
      <c r="BI122" s="261">
        <v>4</v>
      </c>
      <c r="BJ122" s="262"/>
      <c r="BK122" s="256"/>
      <c r="BL122" s="257"/>
      <c r="BM122" s="257"/>
      <c r="BN122" s="257"/>
      <c r="BO122" s="257"/>
      <c r="BP122" s="257"/>
      <c r="BQ122" s="257"/>
      <c r="BR122" s="257"/>
      <c r="BS122" s="257"/>
      <c r="BT122" s="257"/>
      <c r="BU122" s="273"/>
    </row>
    <row r="123" spans="36:73" s="201" customFormat="1" x14ac:dyDescent="0.25">
      <c r="AJ123" s="273"/>
      <c r="AP123" s="203" t="s">
        <v>95</v>
      </c>
      <c r="AQ123" s="261">
        <v>3</v>
      </c>
      <c r="AR123" s="262"/>
      <c r="AS123" s="261">
        <v>3</v>
      </c>
      <c r="AT123" s="262"/>
      <c r="AU123" s="261">
        <v>3</v>
      </c>
      <c r="AV123" s="262"/>
      <c r="AW123" s="261"/>
      <c r="AX123" s="262">
        <v>3</v>
      </c>
      <c r="AY123" s="261"/>
      <c r="AZ123" s="262">
        <v>5</v>
      </c>
      <c r="BA123" s="261"/>
      <c r="BB123" s="262">
        <v>5</v>
      </c>
      <c r="BC123" s="261">
        <v>1</v>
      </c>
      <c r="BD123" s="262"/>
      <c r="BE123" s="261">
        <v>5</v>
      </c>
      <c r="BF123" s="262"/>
      <c r="BG123" s="261">
        <v>3</v>
      </c>
      <c r="BH123" s="262"/>
      <c r="BI123" s="261">
        <v>3</v>
      </c>
      <c r="BJ123" s="262"/>
      <c r="BK123" s="256"/>
      <c r="BL123" s="257"/>
      <c r="BM123" s="257"/>
      <c r="BN123" s="257"/>
      <c r="BO123" s="257"/>
      <c r="BP123" s="257"/>
      <c r="BQ123" s="257"/>
      <c r="BR123" s="257"/>
      <c r="BS123" s="257"/>
      <c r="BT123" s="257"/>
      <c r="BU123" s="273"/>
    </row>
    <row r="124" spans="36:73" s="201" customFormat="1" x14ac:dyDescent="0.25">
      <c r="AJ124" s="273"/>
      <c r="AP124" s="204" t="s">
        <v>96</v>
      </c>
      <c r="AQ124" s="261">
        <v>3</v>
      </c>
      <c r="AR124" s="262"/>
      <c r="AS124" s="261">
        <v>3</v>
      </c>
      <c r="AT124" s="262"/>
      <c r="AU124" s="261">
        <v>3</v>
      </c>
      <c r="AV124" s="262"/>
      <c r="AW124" s="261">
        <v>3</v>
      </c>
      <c r="AX124" s="262"/>
      <c r="AY124" s="261">
        <v>2</v>
      </c>
      <c r="AZ124" s="262"/>
      <c r="BA124" s="261"/>
      <c r="BB124" s="262">
        <v>4</v>
      </c>
      <c r="BC124" s="261"/>
      <c r="BD124" s="262">
        <v>3</v>
      </c>
      <c r="BE124" s="261">
        <v>3</v>
      </c>
      <c r="BF124" s="262"/>
      <c r="BG124" s="261">
        <v>2</v>
      </c>
      <c r="BH124" s="262"/>
      <c r="BI124" s="261">
        <v>3</v>
      </c>
      <c r="BJ124" s="262"/>
      <c r="BK124" s="256"/>
      <c r="BL124" s="257"/>
      <c r="BM124" s="257"/>
      <c r="BN124" s="257"/>
      <c r="BO124" s="257"/>
      <c r="BP124" s="257"/>
      <c r="BQ124" s="257"/>
      <c r="BR124" s="257"/>
      <c r="BS124" s="257"/>
      <c r="BT124" s="257"/>
      <c r="BU124" s="273"/>
    </row>
    <row r="125" spans="36:73" s="201" customFormat="1" x14ac:dyDescent="0.25">
      <c r="AJ125" s="273"/>
      <c r="AP125" s="204" t="s">
        <v>97</v>
      </c>
      <c r="AQ125" s="261"/>
      <c r="AR125" s="262">
        <v>1</v>
      </c>
      <c r="AS125" s="261"/>
      <c r="AT125" s="262">
        <v>1</v>
      </c>
      <c r="AU125" s="261">
        <v>1</v>
      </c>
      <c r="AV125" s="262"/>
      <c r="AW125" s="261"/>
      <c r="AX125" s="262">
        <v>2</v>
      </c>
      <c r="AY125" s="261">
        <v>2</v>
      </c>
      <c r="AZ125" s="262"/>
      <c r="BA125" s="261"/>
      <c r="BB125" s="262">
        <v>4</v>
      </c>
      <c r="BC125" s="261"/>
      <c r="BD125" s="262">
        <v>4</v>
      </c>
      <c r="BE125" s="261"/>
      <c r="BF125" s="262">
        <v>3</v>
      </c>
      <c r="BG125" s="261"/>
      <c r="BH125" s="262">
        <v>2</v>
      </c>
      <c r="BI125" s="261"/>
      <c r="BJ125" s="262">
        <v>2</v>
      </c>
      <c r="BK125" s="256"/>
      <c r="BL125" s="257"/>
      <c r="BM125" s="257"/>
      <c r="BN125" s="257"/>
      <c r="BO125" s="257"/>
      <c r="BP125" s="257"/>
      <c r="BQ125" s="257"/>
      <c r="BR125" s="257"/>
      <c r="BS125" s="257"/>
      <c r="BT125" s="257"/>
      <c r="BU125" s="273"/>
    </row>
    <row r="126" spans="36:73" s="201" customFormat="1" x14ac:dyDescent="0.25">
      <c r="AJ126" s="273"/>
      <c r="AP126" s="204" t="s">
        <v>98</v>
      </c>
      <c r="AQ126" s="261">
        <v>3</v>
      </c>
      <c r="AR126" s="262"/>
      <c r="AS126" s="261">
        <v>2</v>
      </c>
      <c r="AT126" s="262"/>
      <c r="AU126" s="261">
        <v>2</v>
      </c>
      <c r="AV126" s="262"/>
      <c r="AW126" s="261">
        <v>2</v>
      </c>
      <c r="AX126" s="262"/>
      <c r="AY126" s="261"/>
      <c r="AZ126" s="262">
        <v>5</v>
      </c>
      <c r="BA126" s="261"/>
      <c r="BB126" s="262">
        <v>5</v>
      </c>
      <c r="BC126" s="261">
        <v>4</v>
      </c>
      <c r="BD126" s="262"/>
      <c r="BE126" s="261"/>
      <c r="BF126" s="262">
        <v>2</v>
      </c>
      <c r="BG126" s="261"/>
      <c r="BH126" s="262">
        <v>2</v>
      </c>
      <c r="BI126" s="261"/>
      <c r="BJ126" s="262">
        <v>2</v>
      </c>
      <c r="BK126" s="256"/>
      <c r="BL126" s="257"/>
      <c r="BM126" s="257"/>
      <c r="BN126" s="257"/>
      <c r="BO126" s="257"/>
      <c r="BP126" s="257"/>
      <c r="BQ126" s="257"/>
      <c r="BR126" s="257"/>
      <c r="BS126" s="257"/>
      <c r="BT126" s="257"/>
      <c r="BU126" s="273"/>
    </row>
    <row r="127" spans="36:73" s="201" customFormat="1" x14ac:dyDescent="0.25">
      <c r="AJ127" s="273"/>
      <c r="AP127" s="205" t="s">
        <v>99</v>
      </c>
      <c r="AQ127" s="263">
        <v>3</v>
      </c>
      <c r="AR127" s="264"/>
      <c r="AS127" s="263"/>
      <c r="AT127" s="264">
        <v>3</v>
      </c>
      <c r="AU127" s="263">
        <v>3</v>
      </c>
      <c r="AV127" s="264"/>
      <c r="AW127" s="263">
        <v>3</v>
      </c>
      <c r="AX127" s="264"/>
      <c r="AY127" s="263"/>
      <c r="AZ127" s="264">
        <v>5</v>
      </c>
      <c r="BA127" s="263"/>
      <c r="BB127" s="264">
        <v>3</v>
      </c>
      <c r="BC127" s="263">
        <v>2</v>
      </c>
      <c r="BD127" s="264"/>
      <c r="BE127" s="263">
        <v>4</v>
      </c>
      <c r="BF127" s="264"/>
      <c r="BG127" s="263">
        <v>2</v>
      </c>
      <c r="BH127" s="264"/>
      <c r="BI127" s="263">
        <v>2</v>
      </c>
      <c r="BJ127" s="264"/>
      <c r="BK127" s="256"/>
      <c r="BL127" s="257"/>
      <c r="BM127" s="257"/>
      <c r="BN127" s="257"/>
      <c r="BO127" s="257"/>
      <c r="BP127" s="257"/>
      <c r="BQ127" s="257"/>
      <c r="BR127" s="257"/>
      <c r="BS127" s="257"/>
      <c r="BT127" s="257"/>
      <c r="BU127" s="273"/>
    </row>
    <row r="128" spans="36:73" x14ac:dyDescent="0.25">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row>
    <row r="129" spans="41:75" x14ac:dyDescent="0.25">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W129" s="206">
        <v>43132</v>
      </c>
    </row>
    <row r="130" spans="41:75" x14ac:dyDescent="0.25">
      <c r="AP130" s="116"/>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W130" s="206">
        <f>BW129+49</f>
        <v>43181</v>
      </c>
    </row>
    <row r="131" spans="41:75" x14ac:dyDescent="0.25">
      <c r="AP131" s="116"/>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row>
    <row r="132" spans="41:75" x14ac:dyDescent="0.25">
      <c r="AP132" s="116"/>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row>
    <row r="133" spans="41:75" x14ac:dyDescent="0.25">
      <c r="AP133" s="116"/>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row>
    <row r="134" spans="41:75" x14ac:dyDescent="0.25">
      <c r="AP134" s="116"/>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row>
    <row r="135" spans="41:75" x14ac:dyDescent="0.25">
      <c r="AP135" s="116"/>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row>
    <row r="136" spans="41:75" x14ac:dyDescent="0.25">
      <c r="AP136" s="116"/>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row>
    <row r="137" spans="41:75" x14ac:dyDescent="0.25">
      <c r="AP137" s="116"/>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row>
    <row r="138" spans="41:75" x14ac:dyDescent="0.25">
      <c r="AP138" s="116"/>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row>
    <row r="139" spans="41:75" x14ac:dyDescent="0.25">
      <c r="AP139" s="116"/>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13" t="s">
        <v>176</v>
      </c>
      <c r="BR139" s="141"/>
      <c r="BS139" s="141"/>
      <c r="BT139" s="141"/>
      <c r="BU139" s="141"/>
    </row>
    <row r="140" spans="41:75" x14ac:dyDescent="0.25">
      <c r="AO140" s="358" t="s">
        <v>62</v>
      </c>
      <c r="AP140" s="358"/>
      <c r="AQ140" s="358"/>
      <c r="AR140" s="358"/>
      <c r="AS140" s="358"/>
      <c r="AT140" s="358"/>
      <c r="AU140" s="358"/>
      <c r="AV140" s="358"/>
      <c r="AW140" s="358"/>
      <c r="AX140" s="358"/>
      <c r="AY140" s="358"/>
      <c r="AZ140" s="358"/>
      <c r="BA140" s="358"/>
      <c r="BB140" s="358"/>
      <c r="BC140" s="358"/>
      <c r="BD140" s="358"/>
      <c r="BE140" s="358"/>
      <c r="BF140" s="358"/>
      <c r="BG140" s="358"/>
      <c r="BH140" s="358"/>
      <c r="BI140" s="358"/>
      <c r="BJ140" s="358"/>
      <c r="BK140" s="358"/>
      <c r="BL140" s="358"/>
      <c r="BM140" s="358"/>
      <c r="BN140" s="358"/>
      <c r="BO140" s="358"/>
      <c r="BP140" s="358"/>
      <c r="BQ140" s="358"/>
      <c r="BR140" s="358"/>
      <c r="BS140" s="358"/>
      <c r="BT140" s="358"/>
    </row>
    <row r="141" spans="41:75" ht="15" customHeight="1" x14ac:dyDescent="0.25">
      <c r="AO141" s="359" t="s">
        <v>63</v>
      </c>
      <c r="AP141" s="359"/>
      <c r="AQ141" s="359"/>
      <c r="AR141" s="359"/>
      <c r="AS141" s="359"/>
      <c r="AT141" s="359"/>
      <c r="AU141" s="359"/>
      <c r="AV141" s="359"/>
      <c r="AW141" s="359"/>
      <c r="AX141" s="359"/>
      <c r="AY141" s="359"/>
      <c r="AZ141" s="359"/>
      <c r="BA141" s="359"/>
      <c r="BB141" s="359"/>
      <c r="BC141" s="359"/>
      <c r="BD141" s="359"/>
      <c r="BE141" s="359"/>
      <c r="BF141" s="359"/>
      <c r="BG141" s="359"/>
      <c r="BH141" s="359"/>
      <c r="BI141" s="359"/>
      <c r="BJ141" s="359"/>
      <c r="BK141" s="359"/>
      <c r="BL141" s="359"/>
      <c r="BM141" s="359"/>
      <c r="BN141" s="359"/>
      <c r="BO141" s="359"/>
      <c r="BP141" s="359"/>
      <c r="BQ141" s="359"/>
      <c r="BR141" s="359"/>
      <c r="BS141" s="359"/>
      <c r="BT141" s="359"/>
    </row>
    <row r="142" spans="41:75" x14ac:dyDescent="0.25">
      <c r="AO142" s="360" t="s">
        <v>64</v>
      </c>
      <c r="AP142" s="360"/>
      <c r="AQ142" s="360"/>
      <c r="AR142" s="360"/>
      <c r="AS142" s="360"/>
      <c r="AT142" s="360"/>
      <c r="AU142" s="360"/>
      <c r="AV142" s="360"/>
      <c r="AW142" s="360"/>
      <c r="AX142" s="360"/>
      <c r="AY142" s="360"/>
      <c r="AZ142" s="360"/>
      <c r="BA142" s="360"/>
      <c r="BB142" s="360"/>
      <c r="BC142" s="360"/>
      <c r="BD142" s="360"/>
      <c r="BE142" s="360"/>
      <c r="BF142" s="360"/>
      <c r="BG142" s="360"/>
      <c r="BH142" s="360"/>
      <c r="BI142" s="360"/>
      <c r="BJ142" s="360"/>
      <c r="BK142" s="360"/>
      <c r="BL142" s="360"/>
      <c r="BM142" s="360"/>
      <c r="BN142" s="360"/>
      <c r="BO142" s="360"/>
      <c r="BP142" s="360"/>
      <c r="BQ142" s="360"/>
      <c r="BR142" s="360"/>
      <c r="BS142" s="360"/>
      <c r="BT142" s="360"/>
    </row>
    <row r="143" spans="41:75" ht="6" customHeight="1" thickBot="1" x14ac:dyDescent="0.3">
      <c r="AO143" s="361"/>
      <c r="AP143" s="361"/>
      <c r="AQ143" s="361"/>
      <c r="AR143" s="361"/>
      <c r="AS143" s="361"/>
      <c r="AT143" s="361"/>
      <c r="AU143" s="361"/>
      <c r="AV143" s="361"/>
      <c r="AW143" s="361"/>
      <c r="AX143" s="361"/>
      <c r="AY143" s="361"/>
      <c r="AZ143" s="361"/>
      <c r="BA143" s="361"/>
      <c r="BB143" s="361"/>
      <c r="BC143" s="361"/>
      <c r="BD143" s="361"/>
      <c r="BE143" s="361"/>
      <c r="BF143" s="361"/>
      <c r="BG143" s="361"/>
      <c r="BH143" s="361"/>
      <c r="BI143" s="361"/>
      <c r="BJ143" s="361"/>
      <c r="BK143" s="361"/>
      <c r="BL143" s="361"/>
      <c r="BM143" s="361"/>
      <c r="BN143" s="361"/>
      <c r="BO143" s="361"/>
      <c r="BP143" s="361"/>
      <c r="BQ143" s="361"/>
      <c r="BR143" s="361"/>
      <c r="BS143" s="361"/>
      <c r="BT143" s="361"/>
    </row>
    <row r="144" spans="41:75" ht="15.75" thickTop="1" x14ac:dyDescent="0.25">
      <c r="AP144" s="116"/>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row>
    <row r="145" spans="41:73" ht="15.75" x14ac:dyDescent="0.25">
      <c r="AP145" s="362" t="s">
        <v>177</v>
      </c>
      <c r="AQ145" s="362"/>
      <c r="AR145" s="362"/>
      <c r="AS145" s="362"/>
      <c r="AT145" s="362"/>
      <c r="AU145" s="362"/>
      <c r="AV145" s="362"/>
      <c r="AW145" s="362"/>
      <c r="AX145" s="362"/>
      <c r="AY145" s="362"/>
      <c r="AZ145" s="362"/>
      <c r="BA145" s="362"/>
      <c r="BB145" s="362"/>
      <c r="BC145" s="362"/>
      <c r="BD145" s="362"/>
      <c r="BE145" s="362"/>
      <c r="BF145" s="362"/>
      <c r="BG145" s="362"/>
      <c r="BH145" s="362"/>
      <c r="BI145" s="362"/>
      <c r="BJ145" s="362"/>
      <c r="BK145" s="362"/>
      <c r="BL145" s="362"/>
      <c r="BM145" s="362"/>
      <c r="BN145" s="362"/>
      <c r="BO145" s="362"/>
      <c r="BP145" s="362"/>
      <c r="BQ145" s="362"/>
      <c r="BR145" s="362"/>
      <c r="BS145" s="362"/>
      <c r="BT145" s="362"/>
      <c r="BU145" s="141"/>
    </row>
    <row r="146" spans="41:73" x14ac:dyDescent="0.25">
      <c r="AP146" s="116"/>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row>
    <row r="147" spans="41:73" x14ac:dyDescent="0.25">
      <c r="AP147" s="116"/>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row>
    <row r="148" spans="41:73" x14ac:dyDescent="0.25">
      <c r="AO148" s="116"/>
      <c r="AQ148" s="201"/>
      <c r="AR148" s="201"/>
      <c r="AS148" s="201"/>
      <c r="AT148" s="201"/>
      <c r="AU148" s="201"/>
      <c r="AV148" s="201"/>
      <c r="AW148" s="201"/>
      <c r="AX148" s="201"/>
      <c r="AY148" s="201"/>
      <c r="AZ148" s="201"/>
      <c r="BA148" s="201"/>
      <c r="BB148" s="201"/>
      <c r="BC148" s="201"/>
      <c r="BD148" s="201"/>
      <c r="BE148" s="201"/>
      <c r="BF148" s="201"/>
      <c r="BG148" s="201"/>
      <c r="BH148" s="201"/>
      <c r="BI148" s="201"/>
      <c r="BJ148" s="201"/>
      <c r="BK148" s="201"/>
      <c r="BL148" s="201"/>
      <c r="BM148" s="201"/>
      <c r="BN148" s="201"/>
    </row>
    <row r="149" spans="41:73" x14ac:dyDescent="0.25">
      <c r="AP149" s="142"/>
      <c r="AQ149" s="356" t="str">
        <f t="shared" ref="AQ149:AQ156" si="13">AQ112</f>
        <v>Ko-V</v>
      </c>
      <c r="AR149" s="357"/>
      <c r="AS149" s="356" t="str">
        <f t="shared" ref="AS149:AS163" si="14">AS112</f>
        <v>Ko-E</v>
      </c>
      <c r="AT149" s="357"/>
      <c r="AU149" s="356" t="str">
        <f>AU112</f>
        <v>Ko-Ke</v>
      </c>
      <c r="AV149" s="357"/>
      <c r="AW149" s="356" t="str">
        <f t="shared" ref="AW149:AW164" si="15">AW112</f>
        <v>Ko-A</v>
      </c>
      <c r="AX149" s="357"/>
      <c r="AY149" s="356" t="str">
        <f t="shared" ref="AY149:AY162" si="16">AY112</f>
        <v>V-E</v>
      </c>
      <c r="AZ149" s="357"/>
      <c r="BA149" s="356" t="str">
        <f t="shared" ref="BA149" si="17">BA112</f>
        <v>V-Ke</v>
      </c>
      <c r="BB149" s="357"/>
      <c r="BC149" s="356" t="str">
        <f t="shared" ref="BC149:BC154" si="18">BC112</f>
        <v>V-A</v>
      </c>
      <c r="BD149" s="357"/>
      <c r="BE149" s="356" t="str">
        <f t="shared" ref="BE149" si="19">BE112</f>
        <v>E-Ke</v>
      </c>
      <c r="BF149" s="357"/>
      <c r="BG149" s="356" t="str">
        <f>BG112</f>
        <v>E-A</v>
      </c>
      <c r="BH149" s="357"/>
      <c r="BI149" s="356" t="str">
        <f>BI112</f>
        <v>Ke-A</v>
      </c>
      <c r="BJ149" s="357"/>
      <c r="BK149" s="256"/>
      <c r="BL149" s="257"/>
      <c r="BM149" s="257"/>
      <c r="BN149" s="257"/>
      <c r="BO149" s="257"/>
      <c r="BP149" s="257"/>
      <c r="BQ149" s="257"/>
      <c r="BR149" s="257"/>
      <c r="BS149" s="257"/>
      <c r="BT149" s="257"/>
      <c r="BU149" s="141"/>
    </row>
    <row r="150" spans="41:73" x14ac:dyDescent="0.25">
      <c r="AP150" s="207" t="str">
        <f t="shared" ref="AP150:AP164" si="20">AP113</f>
        <v>R1</v>
      </c>
      <c r="AQ150" s="316">
        <f t="shared" si="13"/>
        <v>4</v>
      </c>
      <c r="AR150" s="317"/>
      <c r="AS150" s="318">
        <f t="shared" si="14"/>
        <v>3</v>
      </c>
      <c r="AT150" s="317"/>
      <c r="AU150" s="316"/>
      <c r="AV150" s="319">
        <f>1/AV113</f>
        <v>0.25</v>
      </c>
      <c r="AW150" s="320">
        <f t="shared" si="15"/>
        <v>3</v>
      </c>
      <c r="AX150" s="321"/>
      <c r="AY150" s="320">
        <f t="shared" si="16"/>
        <v>4</v>
      </c>
      <c r="AZ150" s="321"/>
      <c r="BA150" s="322"/>
      <c r="BB150" s="323">
        <f>1/BB113</f>
        <v>0.14285714285714285</v>
      </c>
      <c r="BC150" s="322">
        <f t="shared" si="18"/>
        <v>3</v>
      </c>
      <c r="BD150" s="323"/>
      <c r="BE150" s="320"/>
      <c r="BF150" s="323">
        <f>1/BF113</f>
        <v>0.33333333333333331</v>
      </c>
      <c r="BG150" s="322">
        <f t="shared" ref="BG150:BG156" si="21">BG113</f>
        <v>4</v>
      </c>
      <c r="BH150" s="321"/>
      <c r="BI150" s="322">
        <f>BI113</f>
        <v>4</v>
      </c>
      <c r="BJ150" s="323"/>
      <c r="BK150" s="256"/>
      <c r="BL150" s="257"/>
      <c r="BM150" s="257"/>
      <c r="BN150" s="257"/>
      <c r="BO150" s="257"/>
      <c r="BP150" s="257"/>
      <c r="BQ150" s="257"/>
      <c r="BR150" s="257"/>
      <c r="BS150" s="257"/>
      <c r="BT150" s="257"/>
      <c r="BU150" s="141"/>
    </row>
    <row r="151" spans="41:73" x14ac:dyDescent="0.25">
      <c r="AP151" s="203" t="str">
        <f t="shared" si="20"/>
        <v>R2</v>
      </c>
      <c r="AQ151" s="318">
        <f t="shared" si="13"/>
        <v>4</v>
      </c>
      <c r="AR151" s="319"/>
      <c r="AS151" s="318">
        <f t="shared" si="14"/>
        <v>3</v>
      </c>
      <c r="AT151" s="319"/>
      <c r="AU151" s="318"/>
      <c r="AV151" s="319">
        <f>1/AV114</f>
        <v>0.33333333333333331</v>
      </c>
      <c r="AW151" s="322">
        <f t="shared" si="15"/>
        <v>3</v>
      </c>
      <c r="AX151" s="323"/>
      <c r="AY151" s="322"/>
      <c r="AZ151" s="323">
        <f>1/AZ114</f>
        <v>0.33333333333333331</v>
      </c>
      <c r="BA151" s="322"/>
      <c r="BB151" s="323">
        <f>1/BB114</f>
        <v>0.33333333333333331</v>
      </c>
      <c r="BC151" s="322">
        <f t="shared" si="18"/>
        <v>2</v>
      </c>
      <c r="BD151" s="323"/>
      <c r="BE151" s="322">
        <f>BE114</f>
        <v>4</v>
      </c>
      <c r="BF151" s="323"/>
      <c r="BG151" s="322">
        <f t="shared" si="21"/>
        <v>3</v>
      </c>
      <c r="BH151" s="323"/>
      <c r="BI151" s="322">
        <f>BI114</f>
        <v>3</v>
      </c>
      <c r="BJ151" s="323"/>
      <c r="BK151" s="256"/>
      <c r="BL151" s="257"/>
      <c r="BM151" s="257"/>
      <c r="BN151" s="257"/>
      <c r="BO151" s="257"/>
      <c r="BP151" s="257"/>
      <c r="BQ151" s="257"/>
      <c r="BR151" s="257"/>
      <c r="BS151" s="257"/>
      <c r="BT151" s="257"/>
      <c r="BU151" s="141"/>
    </row>
    <row r="152" spans="41:73" x14ac:dyDescent="0.25">
      <c r="AP152" s="203" t="str">
        <f t="shared" si="20"/>
        <v>R3</v>
      </c>
      <c r="AQ152" s="318"/>
      <c r="AR152" s="319">
        <f>1/AR115</f>
        <v>0.5</v>
      </c>
      <c r="AS152" s="318">
        <f t="shared" si="14"/>
        <v>3</v>
      </c>
      <c r="AT152" s="319"/>
      <c r="AU152" s="318"/>
      <c r="AV152" s="319">
        <f>1/AV115</f>
        <v>0.33333333333333331</v>
      </c>
      <c r="AW152" s="322">
        <f t="shared" si="15"/>
        <v>3</v>
      </c>
      <c r="AX152" s="323"/>
      <c r="AY152" s="322">
        <f t="shared" si="16"/>
        <v>4</v>
      </c>
      <c r="AZ152" s="323"/>
      <c r="BA152" s="322"/>
      <c r="BB152" s="323">
        <f>1/BB115</f>
        <v>0.5</v>
      </c>
      <c r="BC152" s="322">
        <f t="shared" si="18"/>
        <v>3</v>
      </c>
      <c r="BD152" s="323"/>
      <c r="BE152" s="322"/>
      <c r="BF152" s="323">
        <f>1/BF115</f>
        <v>0.5</v>
      </c>
      <c r="BG152" s="322">
        <f t="shared" si="21"/>
        <v>3</v>
      </c>
      <c r="BH152" s="323"/>
      <c r="BI152" s="322">
        <f>BI115</f>
        <v>3</v>
      </c>
      <c r="BJ152" s="323"/>
      <c r="BK152" s="256"/>
      <c r="BL152" s="257"/>
      <c r="BM152" s="257"/>
      <c r="BN152" s="257"/>
      <c r="BO152" s="257"/>
      <c r="BP152" s="257"/>
      <c r="BQ152" s="257"/>
      <c r="BR152" s="257"/>
      <c r="BS152" s="257"/>
      <c r="BT152" s="257"/>
      <c r="BU152" s="141"/>
    </row>
    <row r="153" spans="41:73" x14ac:dyDescent="0.25">
      <c r="AP153" s="203" t="str">
        <f t="shared" si="20"/>
        <v>R4</v>
      </c>
      <c r="AQ153" s="318">
        <f t="shared" si="13"/>
        <v>4</v>
      </c>
      <c r="AR153" s="319"/>
      <c r="AS153" s="318">
        <f t="shared" si="14"/>
        <v>4</v>
      </c>
      <c r="AT153" s="319"/>
      <c r="AU153" s="318">
        <f>AU116</f>
        <v>5</v>
      </c>
      <c r="AV153" s="319"/>
      <c r="AW153" s="322">
        <f t="shared" si="15"/>
        <v>3</v>
      </c>
      <c r="AX153" s="323"/>
      <c r="AY153" s="322"/>
      <c r="AZ153" s="323">
        <f>1/AZ116</f>
        <v>0.5</v>
      </c>
      <c r="BA153" s="322"/>
      <c r="BB153" s="323">
        <f>1/BB116</f>
        <v>0.5</v>
      </c>
      <c r="BC153" s="322"/>
      <c r="BD153" s="323">
        <f>1/BD116</f>
        <v>0.5</v>
      </c>
      <c r="BE153" s="322">
        <f>BE116</f>
        <v>3</v>
      </c>
      <c r="BF153" s="323"/>
      <c r="BG153" s="322">
        <f t="shared" si="21"/>
        <v>2</v>
      </c>
      <c r="BH153" s="323"/>
      <c r="BI153" s="322"/>
      <c r="BJ153" s="323">
        <f t="shared" ref="BJ153:BJ154" si="22">1/BJ116</f>
        <v>0.33333333333333331</v>
      </c>
      <c r="BK153" s="256"/>
      <c r="BL153" s="257"/>
      <c r="BM153" s="257"/>
      <c r="BN153" s="257"/>
      <c r="BO153" s="257"/>
      <c r="BP153" s="257"/>
      <c r="BQ153" s="257"/>
      <c r="BR153" s="257"/>
      <c r="BS153" s="257"/>
      <c r="BT153" s="257"/>
      <c r="BU153" s="141"/>
    </row>
    <row r="154" spans="41:73" x14ac:dyDescent="0.25">
      <c r="AP154" s="203" t="str">
        <f t="shared" si="20"/>
        <v>R5</v>
      </c>
      <c r="AQ154" s="318">
        <f t="shared" si="13"/>
        <v>4</v>
      </c>
      <c r="AR154" s="319"/>
      <c r="AS154" s="318">
        <f t="shared" si="14"/>
        <v>4</v>
      </c>
      <c r="AT154" s="319"/>
      <c r="AU154" s="318">
        <f>AU117</f>
        <v>3</v>
      </c>
      <c r="AV154" s="319"/>
      <c r="AW154" s="322">
        <f t="shared" si="15"/>
        <v>3</v>
      </c>
      <c r="AX154" s="323"/>
      <c r="AY154" s="322"/>
      <c r="AZ154" s="323">
        <f>1/AZ117</f>
        <v>0.2</v>
      </c>
      <c r="BA154" s="322">
        <f t="shared" ref="BA154" si="23">BA117</f>
        <v>5</v>
      </c>
      <c r="BB154" s="323"/>
      <c r="BC154" s="322">
        <f t="shared" si="18"/>
        <v>2</v>
      </c>
      <c r="BD154" s="323"/>
      <c r="BE154" s="322">
        <f>BE117</f>
        <v>5</v>
      </c>
      <c r="BF154" s="323"/>
      <c r="BG154" s="322"/>
      <c r="BH154" s="323">
        <f t="shared" ref="BH154" si="24">1/BH117</f>
        <v>0.5</v>
      </c>
      <c r="BI154" s="322"/>
      <c r="BJ154" s="323">
        <f t="shared" si="22"/>
        <v>0.33333333333333331</v>
      </c>
      <c r="BK154" s="256"/>
      <c r="BL154" s="257"/>
      <c r="BM154" s="257"/>
      <c r="BN154" s="257"/>
      <c r="BO154" s="257"/>
      <c r="BP154" s="257"/>
      <c r="BQ154" s="257"/>
      <c r="BR154" s="257"/>
      <c r="BS154" s="257"/>
      <c r="BT154" s="257"/>
      <c r="BU154" s="141"/>
    </row>
    <row r="155" spans="41:73" x14ac:dyDescent="0.25">
      <c r="AP155" s="203" t="str">
        <f t="shared" si="20"/>
        <v>R6</v>
      </c>
      <c r="AQ155" s="318">
        <f t="shared" si="13"/>
        <v>3</v>
      </c>
      <c r="AR155" s="319"/>
      <c r="AS155" s="318">
        <f t="shared" si="14"/>
        <v>2</v>
      </c>
      <c r="AT155" s="319"/>
      <c r="AU155" s="318"/>
      <c r="AV155" s="319">
        <f>1/AV118</f>
        <v>0.16666666666666666</v>
      </c>
      <c r="AW155" s="322"/>
      <c r="AX155" s="323">
        <f t="shared" ref="AX155" si="25">1/AX118</f>
        <v>0.33333333333333331</v>
      </c>
      <c r="AY155" s="322"/>
      <c r="AZ155" s="323">
        <f>1/AZ118</f>
        <v>0.2</v>
      </c>
      <c r="BA155" s="322"/>
      <c r="BB155" s="323">
        <f>1/BB118</f>
        <v>0.14285714285714285</v>
      </c>
      <c r="BC155" s="322"/>
      <c r="BD155" s="323">
        <f>1/BD118</f>
        <v>1</v>
      </c>
      <c r="BE155" s="322"/>
      <c r="BF155" s="323">
        <f>1/BF118</f>
        <v>0.16666666666666666</v>
      </c>
      <c r="BG155" s="322">
        <f t="shared" si="21"/>
        <v>4</v>
      </c>
      <c r="BH155" s="323"/>
      <c r="BI155" s="322"/>
      <c r="BJ155" s="323">
        <f>1/BJ118</f>
        <v>0.25</v>
      </c>
      <c r="BK155" s="256"/>
      <c r="BL155" s="257"/>
      <c r="BM155" s="257"/>
      <c r="BN155" s="257"/>
      <c r="BO155" s="257"/>
      <c r="BP155" s="257"/>
      <c r="BQ155" s="257"/>
      <c r="BR155" s="257"/>
      <c r="BS155" s="257"/>
      <c r="BT155" s="257"/>
      <c r="BU155" s="141"/>
    </row>
    <row r="156" spans="41:73" x14ac:dyDescent="0.25">
      <c r="AP156" s="203" t="str">
        <f t="shared" si="20"/>
        <v>R7</v>
      </c>
      <c r="AQ156" s="318">
        <f t="shared" si="13"/>
        <v>3</v>
      </c>
      <c r="AR156" s="319"/>
      <c r="AS156" s="318">
        <f t="shared" si="14"/>
        <v>2</v>
      </c>
      <c r="AT156" s="319"/>
      <c r="AU156" s="318">
        <f>AU119</f>
        <v>5</v>
      </c>
      <c r="AV156" s="319"/>
      <c r="AW156" s="322">
        <f t="shared" si="15"/>
        <v>3</v>
      </c>
      <c r="AX156" s="323"/>
      <c r="AY156" s="322">
        <f t="shared" si="16"/>
        <v>5</v>
      </c>
      <c r="AZ156" s="323"/>
      <c r="BA156" s="322">
        <f>BA119</f>
        <v>5</v>
      </c>
      <c r="BB156" s="323"/>
      <c r="BC156" s="322">
        <f>BC119</f>
        <v>3</v>
      </c>
      <c r="BD156" s="323"/>
      <c r="BE156" s="322">
        <f>BE119</f>
        <v>1</v>
      </c>
      <c r="BF156" s="323"/>
      <c r="BG156" s="322">
        <f t="shared" si="21"/>
        <v>3</v>
      </c>
      <c r="BH156" s="323"/>
      <c r="BI156" s="322">
        <f t="shared" ref="BI156:BI161" si="26">BI119</f>
        <v>3</v>
      </c>
      <c r="BJ156" s="323"/>
      <c r="BK156" s="256"/>
      <c r="BL156" s="257"/>
      <c r="BM156" s="257"/>
      <c r="BN156" s="257"/>
      <c r="BO156" s="257"/>
      <c r="BP156" s="257"/>
      <c r="BQ156" s="257"/>
      <c r="BR156" s="257"/>
      <c r="BS156" s="257"/>
      <c r="BT156" s="257"/>
      <c r="BU156" s="141"/>
    </row>
    <row r="157" spans="41:73" x14ac:dyDescent="0.25">
      <c r="AP157" s="203" t="str">
        <f t="shared" si="20"/>
        <v>R8</v>
      </c>
      <c r="AQ157" s="318"/>
      <c r="AR157" s="319">
        <f>1/AR120</f>
        <v>0.25</v>
      </c>
      <c r="AS157" s="318"/>
      <c r="AT157" s="319">
        <f t="shared" ref="AT157:AT164" si="27">1/AT120</f>
        <v>0.2</v>
      </c>
      <c r="AU157" s="318"/>
      <c r="AV157" s="319">
        <f>1/AV120</f>
        <v>0.25</v>
      </c>
      <c r="AW157" s="322"/>
      <c r="AX157" s="323">
        <f t="shared" ref="AX157" si="28">1/AX120</f>
        <v>0.2</v>
      </c>
      <c r="AY157" s="322"/>
      <c r="AZ157" s="323">
        <f>1/AZ120</f>
        <v>0.2</v>
      </c>
      <c r="BA157" s="322"/>
      <c r="BB157" s="323">
        <f>1/BB120</f>
        <v>0.33333333333333331</v>
      </c>
      <c r="BC157" s="322"/>
      <c r="BD157" s="323">
        <f>1/BD120</f>
        <v>0.25</v>
      </c>
      <c r="BE157" s="322">
        <f>BE120</f>
        <v>4</v>
      </c>
      <c r="BF157" s="323"/>
      <c r="BG157" s="322"/>
      <c r="BH157" s="323">
        <f t="shared" ref="BH157:BH163" si="29">1/BH120</f>
        <v>0.33333333333333331</v>
      </c>
      <c r="BI157" s="322">
        <f t="shared" si="26"/>
        <v>4</v>
      </c>
      <c r="BJ157" s="323"/>
      <c r="BK157" s="256"/>
      <c r="BL157" s="257"/>
      <c r="BM157" s="257"/>
      <c r="BN157" s="257"/>
      <c r="BO157" s="257"/>
      <c r="BP157" s="257"/>
      <c r="BQ157" s="257"/>
      <c r="BR157" s="257"/>
      <c r="BS157" s="257"/>
      <c r="BT157" s="257"/>
      <c r="BU157" s="141"/>
    </row>
    <row r="158" spans="41:73" x14ac:dyDescent="0.25">
      <c r="AP158" s="203" t="str">
        <f t="shared" si="20"/>
        <v>R9</v>
      </c>
      <c r="AQ158" s="318"/>
      <c r="AR158" s="319">
        <f>1/AR121</f>
        <v>1</v>
      </c>
      <c r="AS158" s="318">
        <f t="shared" si="14"/>
        <v>4</v>
      </c>
      <c r="AT158" s="319"/>
      <c r="AU158" s="318">
        <f>AU121</f>
        <v>5</v>
      </c>
      <c r="AV158" s="319"/>
      <c r="AW158" s="322">
        <f t="shared" si="15"/>
        <v>2</v>
      </c>
      <c r="AX158" s="323"/>
      <c r="AY158" s="322">
        <f t="shared" si="16"/>
        <v>5</v>
      </c>
      <c r="AZ158" s="323"/>
      <c r="BA158" s="322">
        <f>BA121</f>
        <v>5</v>
      </c>
      <c r="BB158" s="323"/>
      <c r="BC158" s="322">
        <f>BC121</f>
        <v>2</v>
      </c>
      <c r="BD158" s="323"/>
      <c r="BE158" s="322">
        <f>BE121</f>
        <v>5</v>
      </c>
      <c r="BF158" s="323"/>
      <c r="BG158" s="322">
        <f>BG121</f>
        <v>2</v>
      </c>
      <c r="BH158" s="323"/>
      <c r="BI158" s="322">
        <f t="shared" si="26"/>
        <v>3</v>
      </c>
      <c r="BJ158" s="323"/>
      <c r="BK158" s="256"/>
      <c r="BL158" s="257"/>
      <c r="BM158" s="257"/>
      <c r="BN158" s="257"/>
      <c r="BO158" s="257"/>
      <c r="BP158" s="257"/>
      <c r="BQ158" s="257"/>
      <c r="BR158" s="257"/>
      <c r="BS158" s="257"/>
      <c r="BT158" s="257"/>
      <c r="BU158" s="141"/>
    </row>
    <row r="159" spans="41:73" x14ac:dyDescent="0.25">
      <c r="AP159" s="203" t="str">
        <f t="shared" si="20"/>
        <v>R10</v>
      </c>
      <c r="AQ159" s="318"/>
      <c r="AR159" s="319">
        <f>1/AR122</f>
        <v>0.25</v>
      </c>
      <c r="AS159" s="318"/>
      <c r="AT159" s="319">
        <f t="shared" si="27"/>
        <v>0.25</v>
      </c>
      <c r="AU159" s="318"/>
      <c r="AV159" s="319">
        <f>1/AV122</f>
        <v>0.25</v>
      </c>
      <c r="AW159" s="322"/>
      <c r="AX159" s="323">
        <f t="shared" ref="AX159:AX160" si="30">1/AX122</f>
        <v>0.25</v>
      </c>
      <c r="AY159" s="322"/>
      <c r="AZ159" s="323">
        <f>1/AZ122</f>
        <v>0.14285714285714285</v>
      </c>
      <c r="BA159" s="322"/>
      <c r="BB159" s="323">
        <f t="shared" ref="BB159:BB164" si="31">1/BB122</f>
        <v>0.14285714285714285</v>
      </c>
      <c r="BC159" s="322"/>
      <c r="BD159" s="323">
        <f t="shared" ref="BD159:BD162" si="32">1/BD122</f>
        <v>0.25</v>
      </c>
      <c r="BE159" s="322"/>
      <c r="BF159" s="323">
        <f>1/BF122</f>
        <v>0.2</v>
      </c>
      <c r="BG159" s="322"/>
      <c r="BH159" s="323">
        <f t="shared" si="29"/>
        <v>0.5</v>
      </c>
      <c r="BI159" s="322">
        <f t="shared" si="26"/>
        <v>4</v>
      </c>
      <c r="BJ159" s="323"/>
      <c r="BK159" s="256"/>
      <c r="BL159" s="257"/>
      <c r="BM159" s="257"/>
      <c r="BN159" s="257"/>
      <c r="BO159" s="257"/>
      <c r="BP159" s="257"/>
      <c r="BQ159" s="257"/>
      <c r="BR159" s="257"/>
      <c r="BS159" s="257"/>
      <c r="BT159" s="257"/>
      <c r="BU159" s="141"/>
    </row>
    <row r="160" spans="41:73" x14ac:dyDescent="0.25">
      <c r="AP160" s="203" t="str">
        <f t="shared" si="20"/>
        <v>R11</v>
      </c>
      <c r="AQ160" s="318">
        <f t="shared" ref="AQ160:AQ164" si="33">AQ123</f>
        <v>3</v>
      </c>
      <c r="AR160" s="319"/>
      <c r="AS160" s="318">
        <f t="shared" si="14"/>
        <v>3</v>
      </c>
      <c r="AT160" s="319"/>
      <c r="AU160" s="318">
        <f>AU123</f>
        <v>3</v>
      </c>
      <c r="AV160" s="319"/>
      <c r="AW160" s="322"/>
      <c r="AX160" s="323">
        <f t="shared" si="30"/>
        <v>0.33333333333333331</v>
      </c>
      <c r="AY160" s="322"/>
      <c r="AZ160" s="323">
        <f>1/AZ123</f>
        <v>0.2</v>
      </c>
      <c r="BA160" s="322"/>
      <c r="BB160" s="323">
        <f t="shared" si="31"/>
        <v>0.2</v>
      </c>
      <c r="BC160" s="322">
        <f t="shared" ref="BC160" si="34">BC123</f>
        <v>1</v>
      </c>
      <c r="BD160" s="323"/>
      <c r="BE160" s="322">
        <f>BE123</f>
        <v>5</v>
      </c>
      <c r="BF160" s="323"/>
      <c r="BG160" s="322">
        <f>BG123</f>
        <v>3</v>
      </c>
      <c r="BH160" s="323"/>
      <c r="BI160" s="322">
        <f t="shared" si="26"/>
        <v>3</v>
      </c>
      <c r="BJ160" s="323"/>
      <c r="BK160" s="256"/>
      <c r="BL160" s="257"/>
      <c r="BM160" s="257"/>
      <c r="BN160" s="257"/>
      <c r="BO160" s="257"/>
      <c r="BP160" s="257"/>
      <c r="BQ160" s="257"/>
      <c r="BR160" s="257"/>
      <c r="BS160" s="257"/>
      <c r="BT160" s="257"/>
      <c r="BU160" s="141"/>
    </row>
    <row r="161" spans="36:105" x14ac:dyDescent="0.25">
      <c r="AP161" s="203" t="str">
        <f t="shared" si="20"/>
        <v>R12</v>
      </c>
      <c r="AQ161" s="318">
        <f t="shared" si="33"/>
        <v>3</v>
      </c>
      <c r="AR161" s="319"/>
      <c r="AS161" s="318">
        <f t="shared" si="14"/>
        <v>3</v>
      </c>
      <c r="AT161" s="319"/>
      <c r="AU161" s="318">
        <f>AU124</f>
        <v>3</v>
      </c>
      <c r="AV161" s="319"/>
      <c r="AW161" s="322">
        <f t="shared" si="15"/>
        <v>3</v>
      </c>
      <c r="AX161" s="323"/>
      <c r="AY161" s="322">
        <f t="shared" si="16"/>
        <v>2</v>
      </c>
      <c r="AZ161" s="323"/>
      <c r="BA161" s="322"/>
      <c r="BB161" s="323">
        <f t="shared" si="31"/>
        <v>0.25</v>
      </c>
      <c r="BC161" s="322"/>
      <c r="BD161" s="323">
        <f t="shared" si="32"/>
        <v>0.33333333333333331</v>
      </c>
      <c r="BE161" s="322">
        <f>BE124</f>
        <v>3</v>
      </c>
      <c r="BF161" s="323"/>
      <c r="BG161" s="322">
        <f>BG124</f>
        <v>2</v>
      </c>
      <c r="BH161" s="323"/>
      <c r="BI161" s="322">
        <f t="shared" si="26"/>
        <v>3</v>
      </c>
      <c r="BJ161" s="323"/>
      <c r="BK161" s="256"/>
      <c r="BL161" s="257"/>
      <c r="BM161" s="257"/>
      <c r="BN161" s="257"/>
      <c r="BO161" s="257"/>
      <c r="BP161" s="257"/>
      <c r="BQ161" s="257"/>
      <c r="BR161" s="257"/>
      <c r="BS161" s="257"/>
      <c r="BT161" s="257"/>
      <c r="BU161" s="141"/>
    </row>
    <row r="162" spans="36:105" x14ac:dyDescent="0.25">
      <c r="AP162" s="203" t="str">
        <f t="shared" si="20"/>
        <v>R13</v>
      </c>
      <c r="AQ162" s="318"/>
      <c r="AR162" s="319">
        <f>1/AR125</f>
        <v>1</v>
      </c>
      <c r="AS162" s="318"/>
      <c r="AT162" s="319">
        <f t="shared" si="27"/>
        <v>1</v>
      </c>
      <c r="AU162" s="318">
        <f>AU125</f>
        <v>1</v>
      </c>
      <c r="AV162" s="319"/>
      <c r="AW162" s="322"/>
      <c r="AX162" s="323">
        <f t="shared" ref="AX162" si="35">1/AX125</f>
        <v>0.5</v>
      </c>
      <c r="AY162" s="322">
        <f t="shared" si="16"/>
        <v>2</v>
      </c>
      <c r="AZ162" s="323"/>
      <c r="BA162" s="322"/>
      <c r="BB162" s="323">
        <f t="shared" si="31"/>
        <v>0.25</v>
      </c>
      <c r="BC162" s="322"/>
      <c r="BD162" s="323">
        <f t="shared" si="32"/>
        <v>0.25</v>
      </c>
      <c r="BE162" s="322"/>
      <c r="BF162" s="323">
        <f>1/BF125</f>
        <v>0.33333333333333331</v>
      </c>
      <c r="BG162" s="322"/>
      <c r="BH162" s="323">
        <f t="shared" si="29"/>
        <v>0.5</v>
      </c>
      <c r="BI162" s="322"/>
      <c r="BJ162" s="323">
        <f>1/BJ125</f>
        <v>0.5</v>
      </c>
      <c r="BK162" s="256"/>
      <c r="BL162" s="257"/>
      <c r="BM162" s="257"/>
      <c r="BN162" s="257"/>
      <c r="BO162" s="257"/>
      <c r="BP162" s="257"/>
      <c r="BQ162" s="257"/>
      <c r="BR162" s="257"/>
      <c r="BS162" s="257"/>
      <c r="BT162" s="257"/>
      <c r="BU162" s="141"/>
    </row>
    <row r="163" spans="36:105" x14ac:dyDescent="0.25">
      <c r="AP163" s="203" t="str">
        <f t="shared" si="20"/>
        <v>R14</v>
      </c>
      <c r="AQ163" s="318">
        <f t="shared" si="33"/>
        <v>3</v>
      </c>
      <c r="AR163" s="319"/>
      <c r="AS163" s="318">
        <f t="shared" si="14"/>
        <v>2</v>
      </c>
      <c r="AT163" s="319"/>
      <c r="AU163" s="318">
        <f>AU126</f>
        <v>2</v>
      </c>
      <c r="AV163" s="319"/>
      <c r="AW163" s="322">
        <f t="shared" si="15"/>
        <v>2</v>
      </c>
      <c r="AX163" s="323"/>
      <c r="AY163" s="322"/>
      <c r="AZ163" s="323">
        <f>1/AZ126</f>
        <v>0.2</v>
      </c>
      <c r="BA163" s="322"/>
      <c r="BB163" s="323">
        <f t="shared" si="31"/>
        <v>0.2</v>
      </c>
      <c r="BC163" s="322">
        <f t="shared" ref="BC163:BC164" si="36">BC126</f>
        <v>4</v>
      </c>
      <c r="BD163" s="323"/>
      <c r="BE163" s="322"/>
      <c r="BF163" s="323">
        <f>1/BF126</f>
        <v>0.5</v>
      </c>
      <c r="BG163" s="322"/>
      <c r="BH163" s="323">
        <f t="shared" si="29"/>
        <v>0.5</v>
      </c>
      <c r="BI163" s="322"/>
      <c r="BJ163" s="323">
        <f>1/BJ126</f>
        <v>0.5</v>
      </c>
      <c r="BK163" s="256"/>
      <c r="BL163" s="257"/>
      <c r="BM163" s="257"/>
      <c r="BN163" s="257"/>
      <c r="BO163" s="257"/>
      <c r="BP163" s="257"/>
      <c r="BQ163" s="257"/>
      <c r="BR163" s="257"/>
      <c r="BS163" s="257"/>
      <c r="BT163" s="257"/>
      <c r="BU163" s="141"/>
    </row>
    <row r="164" spans="36:105" x14ac:dyDescent="0.25">
      <c r="AP164" s="203" t="str">
        <f t="shared" si="20"/>
        <v>R15</v>
      </c>
      <c r="AQ164" s="318">
        <f t="shared" si="33"/>
        <v>3</v>
      </c>
      <c r="AR164" s="319"/>
      <c r="AS164" s="318"/>
      <c r="AT164" s="319">
        <f t="shared" si="27"/>
        <v>0.33333333333333331</v>
      </c>
      <c r="AU164" s="318">
        <f>AU127</f>
        <v>3</v>
      </c>
      <c r="AV164" s="319"/>
      <c r="AW164" s="322">
        <f t="shared" si="15"/>
        <v>3</v>
      </c>
      <c r="AX164" s="323"/>
      <c r="AY164" s="322"/>
      <c r="AZ164" s="323">
        <f>1/AZ127</f>
        <v>0.2</v>
      </c>
      <c r="BA164" s="322"/>
      <c r="BB164" s="323">
        <f t="shared" si="31"/>
        <v>0.33333333333333331</v>
      </c>
      <c r="BC164" s="322">
        <f t="shared" si="36"/>
        <v>2</v>
      </c>
      <c r="BD164" s="323"/>
      <c r="BE164" s="322">
        <f>BE127</f>
        <v>4</v>
      </c>
      <c r="BF164" s="323"/>
      <c r="BG164" s="322">
        <f>BG127</f>
        <v>2</v>
      </c>
      <c r="BH164" s="323"/>
      <c r="BI164" s="322">
        <f>BI127</f>
        <v>2</v>
      </c>
      <c r="BJ164" s="323"/>
      <c r="BK164" s="256"/>
      <c r="BL164" s="257"/>
      <c r="BM164" s="257"/>
      <c r="BN164" s="257"/>
      <c r="BO164" s="257"/>
      <c r="BP164" s="257"/>
      <c r="BQ164" s="257"/>
      <c r="BR164" s="257"/>
      <c r="BS164" s="257"/>
      <c r="BT164" s="257"/>
      <c r="BU164" s="141"/>
    </row>
    <row r="165" spans="36:105" x14ac:dyDescent="0.25">
      <c r="AP165" s="202" t="s">
        <v>171</v>
      </c>
      <c r="AQ165" s="349">
        <f>SUM(AQ150:AR164)</f>
        <v>37</v>
      </c>
      <c r="AR165" s="350"/>
      <c r="AS165" s="349">
        <f>SUM(AS150:AT164)</f>
        <v>34.783333333333339</v>
      </c>
      <c r="AT165" s="350"/>
      <c r="AU165" s="349">
        <f>SUM(AU150:AV164)</f>
        <v>31.583333333333332</v>
      </c>
      <c r="AV165" s="350"/>
      <c r="AW165" s="352">
        <f>SUM(AW150:AX164)</f>
        <v>29.616666666666667</v>
      </c>
      <c r="AX165" s="353"/>
      <c r="AY165" s="349">
        <f>SUM(AY150:AZ164)</f>
        <v>24.17619047619047</v>
      </c>
      <c r="AZ165" s="350"/>
      <c r="BA165" s="349">
        <f>SUM(BA150:BB164)</f>
        <v>18.328571428571429</v>
      </c>
      <c r="BB165" s="350"/>
      <c r="BC165" s="349">
        <f>SUM(BC150:BD164)</f>
        <v>24.583333333333332</v>
      </c>
      <c r="BD165" s="350"/>
      <c r="BE165" s="349">
        <f>SUM(BE150:BF164)</f>
        <v>36.033333333333331</v>
      </c>
      <c r="BF165" s="350"/>
      <c r="BG165" s="349">
        <f>SUM(BG150:BH164)</f>
        <v>30.333333333333332</v>
      </c>
      <c r="BH165" s="350"/>
      <c r="BI165" s="349">
        <f>SUM(BI150:BJ164)</f>
        <v>33.916666666666671</v>
      </c>
      <c r="BJ165" s="350"/>
      <c r="BK165" s="256"/>
      <c r="BL165" s="257"/>
      <c r="BM165" s="257"/>
      <c r="BN165" s="257"/>
      <c r="BO165" s="257"/>
      <c r="BP165" s="257"/>
      <c r="BQ165" s="257"/>
      <c r="BR165" s="257"/>
      <c r="BS165" s="257"/>
      <c r="BT165" s="257"/>
      <c r="BU165" s="141"/>
    </row>
    <row r="166" spans="36:105" x14ac:dyDescent="0.25">
      <c r="AP166" s="208" t="s">
        <v>114</v>
      </c>
      <c r="AQ166" s="347">
        <f>AVERAGE(AQ150:AR164)</f>
        <v>2.4666666666666668</v>
      </c>
      <c r="AR166" s="348"/>
      <c r="AS166" s="347">
        <f>AVERAGE(AS150:AT164)</f>
        <v>2.3188888888888894</v>
      </c>
      <c r="AT166" s="348"/>
      <c r="AU166" s="347">
        <f>AVERAGE(AU150:AV164)</f>
        <v>2.1055555555555556</v>
      </c>
      <c r="AV166" s="348"/>
      <c r="AW166" s="354">
        <f>AVERAGE(AW150:AX164)</f>
        <v>1.9744444444444444</v>
      </c>
      <c r="AX166" s="355"/>
      <c r="AY166" s="347">
        <f>AVERAGE(AY150:AZ164)</f>
        <v>1.6117460317460313</v>
      </c>
      <c r="AZ166" s="348"/>
      <c r="BA166" s="347">
        <f>AVERAGE(BA150:BB164)</f>
        <v>1.221904761904762</v>
      </c>
      <c r="BB166" s="348"/>
      <c r="BC166" s="347">
        <f>AVERAGE(BC150:BD164)</f>
        <v>1.6388888888888888</v>
      </c>
      <c r="BD166" s="348"/>
      <c r="BE166" s="347">
        <f>AVERAGE(BE150:BF164)</f>
        <v>2.402222222222222</v>
      </c>
      <c r="BF166" s="348"/>
      <c r="BG166" s="347">
        <f>AVERAGE(BG150:BH164)</f>
        <v>2.0222222222222221</v>
      </c>
      <c r="BH166" s="348"/>
      <c r="BI166" s="347">
        <f>AVERAGE(BI150:BJ164)</f>
        <v>2.2611111111111115</v>
      </c>
      <c r="BJ166" s="348"/>
      <c r="BK166" s="256"/>
      <c r="BL166" s="257"/>
      <c r="BM166" s="257"/>
      <c r="BN166" s="257"/>
      <c r="BO166" s="257"/>
      <c r="BP166" s="257"/>
      <c r="BQ166" s="257"/>
      <c r="BR166" s="257"/>
      <c r="BS166" s="257"/>
      <c r="BT166" s="257"/>
      <c r="BU166" s="141"/>
    </row>
    <row r="173" spans="36:105" s="210" customFormat="1" ht="30" customHeight="1" x14ac:dyDescent="0.25">
      <c r="AJ173" s="209"/>
    </row>
    <row r="174" spans="36:105" s="210" customFormat="1" x14ac:dyDescent="0.25">
      <c r="AJ174" s="209"/>
      <c r="CF174" s="113" t="s">
        <v>178</v>
      </c>
    </row>
    <row r="175" spans="36:105" x14ac:dyDescent="0.25">
      <c r="BU175" s="328" t="s">
        <v>62</v>
      </c>
      <c r="BV175" s="328"/>
      <c r="BW175" s="328"/>
      <c r="BX175" s="328"/>
      <c r="BY175" s="328"/>
      <c r="BZ175" s="328"/>
      <c r="CA175" s="328"/>
      <c r="CB175" s="328"/>
      <c r="CC175" s="328"/>
      <c r="CD175" s="328"/>
      <c r="CE175" s="328"/>
      <c r="CF175" s="328"/>
      <c r="CG175" s="328"/>
      <c r="CH175" s="328"/>
      <c r="CI175" s="328"/>
      <c r="CJ175" s="114"/>
      <c r="CK175" s="114"/>
      <c r="CL175" s="114"/>
      <c r="CM175" s="114"/>
      <c r="CN175" s="114"/>
      <c r="CO175" s="114"/>
      <c r="CP175" s="114"/>
      <c r="CQ175" s="114"/>
      <c r="CR175" s="114"/>
      <c r="CS175" s="114"/>
      <c r="CT175" s="114"/>
      <c r="CU175" s="114"/>
      <c r="CV175" s="114"/>
      <c r="CW175" s="114"/>
      <c r="CX175" s="114"/>
      <c r="CY175" s="114"/>
      <c r="CZ175" s="114"/>
      <c r="DA175" s="114"/>
    </row>
    <row r="176" spans="36:105" ht="15" customHeight="1" x14ac:dyDescent="0.25">
      <c r="BU176" s="329" t="s">
        <v>63</v>
      </c>
      <c r="BV176" s="329"/>
      <c r="BW176" s="329"/>
      <c r="BX176" s="329"/>
      <c r="BY176" s="329"/>
      <c r="BZ176" s="329"/>
      <c r="CA176" s="329"/>
      <c r="CB176" s="329"/>
      <c r="CC176" s="329"/>
      <c r="CD176" s="329"/>
      <c r="CE176" s="329"/>
      <c r="CF176" s="329"/>
      <c r="CG176" s="329"/>
      <c r="CH176" s="329"/>
      <c r="CI176" s="329"/>
      <c r="CJ176" s="114"/>
      <c r="CK176" s="114"/>
      <c r="CL176" s="114"/>
      <c r="CM176" s="114"/>
      <c r="CN176" s="114"/>
      <c r="CO176" s="114"/>
      <c r="CP176" s="114"/>
      <c r="CQ176" s="114"/>
      <c r="CR176" s="114"/>
      <c r="CS176" s="114"/>
      <c r="CT176" s="114"/>
      <c r="CU176" s="114"/>
      <c r="CV176" s="114"/>
      <c r="CW176" s="114"/>
      <c r="CX176" s="114"/>
      <c r="CY176" s="114"/>
      <c r="CZ176" s="114"/>
      <c r="DA176" s="114"/>
    </row>
    <row r="177" spans="36:105" x14ac:dyDescent="0.25">
      <c r="BU177" s="330" t="s">
        <v>64</v>
      </c>
      <c r="BV177" s="330"/>
      <c r="BW177" s="330"/>
      <c r="BX177" s="330"/>
      <c r="BY177" s="330"/>
      <c r="BZ177" s="330"/>
      <c r="CA177" s="330"/>
      <c r="CB177" s="330"/>
      <c r="CC177" s="330"/>
      <c r="CD177" s="330"/>
      <c r="CE177" s="330"/>
      <c r="CF177" s="330"/>
      <c r="CG177" s="330"/>
      <c r="CH177" s="330"/>
      <c r="CI177" s="330"/>
      <c r="CJ177" s="114"/>
      <c r="CK177" s="114"/>
      <c r="CL177" s="114"/>
      <c r="CM177" s="114"/>
      <c r="CN177" s="114"/>
      <c r="CO177" s="114"/>
      <c r="CP177" s="114"/>
      <c r="CQ177" s="114"/>
      <c r="CR177" s="114"/>
      <c r="CS177" s="114"/>
      <c r="CT177" s="114"/>
      <c r="CU177" s="114"/>
      <c r="CV177" s="114"/>
      <c r="CW177" s="114"/>
      <c r="CX177" s="114"/>
      <c r="CY177" s="114"/>
      <c r="CZ177" s="114"/>
      <c r="DA177" s="114"/>
    </row>
    <row r="178" spans="36:105" ht="6" customHeight="1" thickBot="1" x14ac:dyDescent="0.3">
      <c r="BU178" s="351"/>
      <c r="BV178" s="351"/>
      <c r="BW178" s="351"/>
      <c r="BX178" s="351"/>
      <c r="BY178" s="351"/>
      <c r="BZ178" s="351"/>
      <c r="CA178" s="351"/>
      <c r="CB178" s="351"/>
      <c r="CC178" s="351"/>
      <c r="CD178" s="351"/>
      <c r="CE178" s="351"/>
      <c r="CF178" s="351"/>
      <c r="CG178" s="351"/>
      <c r="CH178" s="351"/>
      <c r="CI178" s="351"/>
      <c r="CJ178" s="114"/>
      <c r="CK178" s="114"/>
      <c r="CL178" s="114"/>
      <c r="CM178" s="114"/>
      <c r="CN178" s="114"/>
      <c r="CO178" s="114"/>
      <c r="CP178" s="114"/>
      <c r="CQ178" s="114"/>
      <c r="CR178" s="114"/>
      <c r="CS178" s="114"/>
      <c r="CT178" s="114"/>
      <c r="CU178" s="114"/>
      <c r="CV178" s="114"/>
      <c r="CW178" s="114"/>
      <c r="CX178" s="114"/>
      <c r="CY178" s="114"/>
      <c r="CZ178" s="114"/>
      <c r="DA178" s="114"/>
    </row>
    <row r="179" spans="36:105" s="210" customFormat="1" ht="9" customHeight="1" thickTop="1" x14ac:dyDescent="0.25">
      <c r="AJ179" s="209"/>
      <c r="CJ179" s="114"/>
      <c r="CK179" s="114"/>
      <c r="CL179" s="114"/>
      <c r="CM179" s="114"/>
      <c r="CN179" s="114"/>
      <c r="CO179" s="114"/>
      <c r="CP179" s="114"/>
      <c r="CQ179" s="114"/>
      <c r="CR179" s="114"/>
      <c r="CS179" s="114"/>
      <c r="CT179" s="114"/>
      <c r="CU179" s="114"/>
      <c r="CV179" s="114"/>
      <c r="CW179" s="114"/>
      <c r="CX179" s="114"/>
      <c r="CY179" s="114"/>
      <c r="CZ179" s="114"/>
      <c r="DA179" s="114"/>
    </row>
    <row r="180" spans="36:105" s="210" customFormat="1" x14ac:dyDescent="0.25">
      <c r="AJ180" s="209"/>
      <c r="CJ180" s="114"/>
      <c r="CK180" s="114"/>
      <c r="CL180" s="114"/>
      <c r="CM180" s="114"/>
      <c r="CN180" s="114"/>
      <c r="CO180" s="114"/>
      <c r="CP180" s="114"/>
      <c r="CQ180" s="114"/>
      <c r="CR180" s="114"/>
      <c r="CS180" s="114"/>
      <c r="CT180" s="114"/>
      <c r="CU180" s="114"/>
      <c r="CV180" s="114"/>
      <c r="CW180" s="114"/>
      <c r="CX180" s="114"/>
      <c r="CY180" s="114"/>
      <c r="CZ180" s="114"/>
      <c r="DA180" s="114"/>
    </row>
    <row r="181" spans="36:105" s="210" customFormat="1" x14ac:dyDescent="0.25">
      <c r="AJ181" s="209"/>
      <c r="BV181" s="112" t="s">
        <v>90</v>
      </c>
      <c r="BW181" s="112"/>
      <c r="BX181" s="167">
        <v>5</v>
      </c>
      <c r="BY181" s="112"/>
      <c r="BZ181" s="112"/>
      <c r="CA181" s="112"/>
      <c r="CB181" s="112"/>
      <c r="CC181" s="112"/>
      <c r="CD181" s="112"/>
      <c r="CE181" s="112"/>
      <c r="CF181" s="112"/>
      <c r="CG181" s="112"/>
      <c r="CH181" s="112"/>
      <c r="CI181" s="112"/>
    </row>
    <row r="182" spans="36:105" s="210" customFormat="1" x14ac:dyDescent="0.25">
      <c r="AJ182" s="209"/>
      <c r="BV182" s="112" t="s">
        <v>93</v>
      </c>
      <c r="BW182" s="112"/>
      <c r="BX182" s="167">
        <v>1.1200000000000001</v>
      </c>
      <c r="BY182" s="112"/>
      <c r="BZ182" s="112"/>
      <c r="CA182" s="112"/>
      <c r="CB182" s="112"/>
      <c r="CC182" s="112"/>
      <c r="CD182" s="112"/>
      <c r="CE182" s="112"/>
      <c r="CF182" s="112"/>
      <c r="CG182" s="112"/>
      <c r="CH182" s="112"/>
      <c r="CI182" s="112"/>
    </row>
    <row r="183" spans="36:105" s="210" customFormat="1" ht="7.5" customHeight="1" thickBot="1" x14ac:dyDescent="0.3">
      <c r="AJ183" s="209"/>
      <c r="BV183" s="112"/>
      <c r="BW183" s="112"/>
      <c r="BX183" s="112"/>
      <c r="BY183" s="112"/>
      <c r="BZ183" s="112"/>
      <c r="CA183" s="112"/>
      <c r="CB183" s="112"/>
      <c r="CC183" s="112"/>
      <c r="CD183" s="112"/>
      <c r="CE183" s="112"/>
      <c r="CF183" s="112"/>
      <c r="CG183" s="112"/>
      <c r="CH183" s="112"/>
      <c r="CI183" s="112"/>
    </row>
    <row r="184" spans="36:105" s="210" customFormat="1" ht="33.75" customHeight="1" thickTop="1" x14ac:dyDescent="0.25">
      <c r="AJ184" s="209"/>
      <c r="BV184" s="211"/>
      <c r="BW184" s="212" t="str">
        <f>BV185</f>
        <v>Kondisi</v>
      </c>
      <c r="BX184" s="213" t="str">
        <f>BV186</f>
        <v>Volume</v>
      </c>
      <c r="BY184" s="213" t="str">
        <f>BV187</f>
        <v>Ekonomi</v>
      </c>
      <c r="BZ184" s="213" t="str">
        <f>BV188</f>
        <v>Kebijakan</v>
      </c>
      <c r="CA184" s="213" t="str">
        <f>BV189</f>
        <v>Aksesibilitas</v>
      </c>
      <c r="CB184" s="301" t="s">
        <v>76</v>
      </c>
      <c r="CC184" s="302" t="s">
        <v>287</v>
      </c>
      <c r="CD184" s="299" t="s">
        <v>77</v>
      </c>
      <c r="CE184" s="300" t="s">
        <v>286</v>
      </c>
      <c r="CF184" s="112"/>
      <c r="CG184" s="112"/>
      <c r="CI184" s="112"/>
    </row>
    <row r="185" spans="36:105" ht="31.5" customHeight="1" x14ac:dyDescent="0.25">
      <c r="BV185" s="215" t="s">
        <v>91</v>
      </c>
      <c r="BW185" s="216">
        <v>1</v>
      </c>
      <c r="BX185" s="217">
        <f>AQ166</f>
        <v>2.4666666666666668</v>
      </c>
      <c r="BY185" s="217">
        <f>AS166</f>
        <v>2.3188888888888894</v>
      </c>
      <c r="BZ185" s="217">
        <f>AU166</f>
        <v>2.1055555555555556</v>
      </c>
      <c r="CA185" s="217">
        <f>AW166</f>
        <v>1.9744444444444444</v>
      </c>
      <c r="CB185" s="303">
        <f>BW185*BX185*BY185*BZ185*CA185</f>
        <v>23.779462175125751</v>
      </c>
      <c r="CC185" s="304">
        <f>CB185^(1/$BX$181)</f>
        <v>1.8846920801737375</v>
      </c>
      <c r="CD185" s="304">
        <f>CC185/$CC$190</f>
        <v>0.34933996258717676</v>
      </c>
      <c r="CE185" s="305">
        <f>CC185+($CD$185*$CD$186*$CD$187*$CD$188*$CD$189)</f>
        <v>1.8849108761440716</v>
      </c>
      <c r="CF185" s="218">
        <v>1</v>
      </c>
      <c r="CG185" s="218"/>
      <c r="CI185" s="210"/>
    </row>
    <row r="186" spans="36:105" ht="31.5" customHeight="1" x14ac:dyDescent="0.25">
      <c r="BV186" s="219" t="s">
        <v>92</v>
      </c>
      <c r="BW186" s="220">
        <f>1/BX185</f>
        <v>0.40540540540540537</v>
      </c>
      <c r="BX186" s="221">
        <v>1</v>
      </c>
      <c r="BY186" s="222">
        <f>AY166</f>
        <v>1.6117460317460313</v>
      </c>
      <c r="BZ186" s="222">
        <f>BA166</f>
        <v>1.221904761904762</v>
      </c>
      <c r="CA186" s="222">
        <f>BC166</f>
        <v>1.6388888888888888</v>
      </c>
      <c r="CB186" s="306">
        <f>BW186*BX186*BY186*BZ186*CA186</f>
        <v>1.308497848188324</v>
      </c>
      <c r="CC186" s="307">
        <f t="shared" ref="CC186:CC189" si="37">CB186^(1/$BX$181)</f>
        <v>1.055248157555585</v>
      </c>
      <c r="CD186" s="307">
        <f>CC186/$CC$190</f>
        <v>0.19559712472855126</v>
      </c>
      <c r="CE186" s="308">
        <f>CC186+($CD$185*$CD$186*$CD$187*$CD$188*$CD$189)</f>
        <v>1.0554669535259191</v>
      </c>
      <c r="CF186" s="218"/>
      <c r="CG186" s="218">
        <v>4</v>
      </c>
      <c r="CI186" s="210"/>
    </row>
    <row r="187" spans="36:105" ht="31.5" customHeight="1" x14ac:dyDescent="0.25">
      <c r="AQ187" s="223"/>
      <c r="AR187" s="223"/>
      <c r="AS187" s="223"/>
      <c r="AT187" s="223"/>
      <c r="AU187" s="223"/>
      <c r="AV187" s="223"/>
      <c r="AW187" s="223"/>
      <c r="AX187" s="223"/>
      <c r="AY187" s="223"/>
      <c r="AZ187" s="223"/>
      <c r="BA187" s="223"/>
      <c r="BB187" s="223"/>
      <c r="BC187" s="223"/>
      <c r="BD187" s="223"/>
      <c r="BE187" s="223"/>
      <c r="BF187" s="223"/>
      <c r="BG187" s="223"/>
      <c r="BH187" s="223"/>
      <c r="BI187" s="223"/>
      <c r="BJ187" s="223"/>
      <c r="BK187" s="223"/>
      <c r="BL187" s="223"/>
      <c r="BM187" s="223"/>
      <c r="BN187" s="223"/>
      <c r="BO187" s="223"/>
      <c r="BP187" s="223"/>
      <c r="BQ187" s="223"/>
      <c r="BR187" s="223"/>
      <c r="BS187" s="223"/>
      <c r="BT187" s="223"/>
      <c r="BU187" s="223"/>
      <c r="BV187" s="219" t="s">
        <v>11</v>
      </c>
      <c r="BW187" s="220">
        <f>1/BY185</f>
        <v>0.4312410158121705</v>
      </c>
      <c r="BX187" s="222">
        <f>1/BY186</f>
        <v>0.62044514477053392</v>
      </c>
      <c r="BY187" s="221">
        <v>1</v>
      </c>
      <c r="BZ187" s="222">
        <f>BE166</f>
        <v>2.402222222222222</v>
      </c>
      <c r="CA187" s="224">
        <f>BG166</f>
        <v>2.0222222222222221</v>
      </c>
      <c r="CB187" s="306">
        <f>BW187*BX187*BY187*BZ187*CA187</f>
        <v>1.2997670092364835</v>
      </c>
      <c r="CC187" s="307">
        <f t="shared" si="37"/>
        <v>1.0538361735230952</v>
      </c>
      <c r="CD187" s="307">
        <f>CC187/$CC$190</f>
        <v>0.19533540428399027</v>
      </c>
      <c r="CE187" s="308">
        <f>CC187+($CD$185*$CD$186*$CD$187*$CD$188*$CD$189)</f>
        <v>1.0540549694934294</v>
      </c>
      <c r="CF187" s="218">
        <v>2</v>
      </c>
      <c r="CG187" s="218"/>
      <c r="CI187" s="210"/>
    </row>
    <row r="188" spans="36:105" ht="31.5" customHeight="1" x14ac:dyDescent="0.25">
      <c r="AQ188" s="223"/>
      <c r="AR188" s="223"/>
      <c r="AS188" s="223"/>
      <c r="AT188" s="223"/>
      <c r="AU188" s="223"/>
      <c r="AV188" s="223"/>
      <c r="AW188" s="223"/>
      <c r="AX188" s="223"/>
      <c r="AY188" s="223"/>
      <c r="AZ188" s="223"/>
      <c r="BA188" s="223"/>
      <c r="BB188" s="223"/>
      <c r="BC188" s="223"/>
      <c r="BD188" s="223"/>
      <c r="BE188" s="223"/>
      <c r="BF188" s="223"/>
      <c r="BG188" s="223"/>
      <c r="BH188" s="223"/>
      <c r="BI188" s="223"/>
      <c r="BJ188" s="223"/>
      <c r="BK188" s="223"/>
      <c r="BL188" s="223"/>
      <c r="BM188" s="223"/>
      <c r="BN188" s="223"/>
      <c r="BO188" s="223"/>
      <c r="BP188" s="223"/>
      <c r="BQ188" s="223"/>
      <c r="BR188" s="223"/>
      <c r="BS188" s="223"/>
      <c r="BT188" s="223"/>
      <c r="BU188" s="223"/>
      <c r="BV188" s="219" t="s">
        <v>13</v>
      </c>
      <c r="BW188" s="220">
        <f>1/BZ185</f>
        <v>0.47493403693931396</v>
      </c>
      <c r="BX188" s="222">
        <f>1/BZ186</f>
        <v>0.81839438815276688</v>
      </c>
      <c r="BY188" s="222">
        <f>1/BZ187</f>
        <v>0.41628122109158189</v>
      </c>
      <c r="BZ188" s="221">
        <v>1</v>
      </c>
      <c r="CA188" s="225">
        <f>BI166</f>
        <v>2.2611111111111115</v>
      </c>
      <c r="CB188" s="306">
        <f>BW188*BX188*BY188*BZ188*CA188</f>
        <v>0.36585134986948775</v>
      </c>
      <c r="CC188" s="307">
        <f t="shared" si="37"/>
        <v>0.81782603577734492</v>
      </c>
      <c r="CD188" s="307">
        <f>CC188/$CC$190</f>
        <v>0.15158938680048997</v>
      </c>
      <c r="CE188" s="308">
        <f>CC188+($CD$185*$CD$186*$CD$187*$CD$188*$CD$189)</f>
        <v>0.81804483174767917</v>
      </c>
      <c r="CF188" s="218"/>
      <c r="CG188" s="218">
        <v>5</v>
      </c>
      <c r="CI188" s="210"/>
    </row>
    <row r="189" spans="36:105" ht="31.5" customHeight="1" thickBot="1" x14ac:dyDescent="0.3">
      <c r="AQ189" s="223"/>
      <c r="AR189" s="223"/>
      <c r="AS189" s="223"/>
      <c r="AT189" s="223"/>
      <c r="AU189" s="223"/>
      <c r="AV189" s="223"/>
      <c r="AW189" s="223"/>
      <c r="AX189" s="223"/>
      <c r="AY189" s="223"/>
      <c r="AZ189" s="223"/>
      <c r="BA189" s="223"/>
      <c r="BB189" s="223"/>
      <c r="BC189" s="223"/>
      <c r="BD189" s="223"/>
      <c r="BE189" s="223"/>
      <c r="BF189" s="223"/>
      <c r="BG189" s="223"/>
      <c r="BH189" s="223"/>
      <c r="BI189" s="223"/>
      <c r="BJ189" s="223"/>
      <c r="BK189" s="223"/>
      <c r="BL189" s="223"/>
      <c r="BM189" s="223"/>
      <c r="BN189" s="223"/>
      <c r="BO189" s="223"/>
      <c r="BP189" s="223"/>
      <c r="BQ189" s="223"/>
      <c r="BR189" s="223"/>
      <c r="BS189" s="223"/>
      <c r="BT189" s="223"/>
      <c r="BU189" s="223"/>
      <c r="BV189" s="226" t="s">
        <v>186</v>
      </c>
      <c r="BW189" s="227">
        <f>1/CA185</f>
        <v>0.50647158131682612</v>
      </c>
      <c r="BX189" s="228">
        <f>1/CA186</f>
        <v>0.61016949152542377</v>
      </c>
      <c r="BY189" s="228">
        <f>1/CA187</f>
        <v>0.49450549450549453</v>
      </c>
      <c r="BZ189" s="228">
        <f>1/CA188</f>
        <v>0.4422604422604422</v>
      </c>
      <c r="CA189" s="258">
        <v>1</v>
      </c>
      <c r="CB189" s="309">
        <f>BW189*BX189*BY189*BZ189*CA189</f>
        <v>6.7585695619994515E-2</v>
      </c>
      <c r="CC189" s="310">
        <f t="shared" si="37"/>
        <v>0.58340608911335901</v>
      </c>
      <c r="CD189" s="310">
        <f>CC189/$CC$190</f>
        <v>0.10813812159979168</v>
      </c>
      <c r="CE189" s="311">
        <f>CC189+($CD$185*$CD$186*$CD$187*$CD$188*$CD$189)</f>
        <v>0.58362488508369326</v>
      </c>
      <c r="CF189" s="218"/>
      <c r="CG189" s="218">
        <v>6</v>
      </c>
      <c r="CI189" s="210"/>
    </row>
    <row r="190" spans="36:105" ht="16.5" thickTop="1" thickBot="1" x14ac:dyDescent="0.3">
      <c r="AQ190" s="223"/>
      <c r="AR190" s="223"/>
      <c r="AS190" s="223"/>
      <c r="AT190" s="223"/>
      <c r="AU190" s="223"/>
      <c r="AV190" s="223"/>
      <c r="AW190" s="223"/>
      <c r="AX190" s="223"/>
      <c r="AY190" s="223"/>
      <c r="AZ190" s="223"/>
      <c r="BA190" s="223"/>
      <c r="BB190" s="223"/>
      <c r="BC190" s="223"/>
      <c r="BD190" s="223"/>
      <c r="BE190" s="223"/>
      <c r="BF190" s="223"/>
      <c r="BG190" s="223"/>
      <c r="BH190" s="223"/>
      <c r="BI190" s="223"/>
      <c r="BJ190" s="223"/>
      <c r="BK190" s="223"/>
      <c r="BL190" s="223"/>
      <c r="BM190" s="223"/>
      <c r="BN190" s="223"/>
      <c r="BO190" s="223"/>
      <c r="BP190" s="223"/>
      <c r="BQ190" s="223"/>
      <c r="BR190" s="223"/>
      <c r="BS190" s="223"/>
      <c r="BT190" s="223"/>
      <c r="BU190" s="223"/>
      <c r="CB190" s="312"/>
      <c r="CC190" s="313">
        <f>SUM(CC185:CC189)</f>
        <v>5.3950085361431217</v>
      </c>
      <c r="CD190" s="314">
        <f>SUM(CD185:CD189)</f>
        <v>0.99999999999999989</v>
      </c>
      <c r="CE190" s="315">
        <f>SUM(CE185:CE189)</f>
        <v>5.3961025159947917</v>
      </c>
    </row>
    <row r="191" spans="36:105" ht="15.75" thickTop="1" x14ac:dyDescent="0.25">
      <c r="AQ191" s="223"/>
      <c r="AR191" s="223"/>
      <c r="AS191" s="223"/>
      <c r="AT191" s="223"/>
      <c r="AU191" s="223"/>
      <c r="AV191" s="223"/>
      <c r="AW191" s="223"/>
      <c r="AX191" s="223"/>
      <c r="AY191" s="223"/>
      <c r="AZ191" s="223"/>
      <c r="BA191" s="223"/>
      <c r="BB191" s="223"/>
      <c r="BC191" s="223"/>
      <c r="BD191" s="223"/>
      <c r="BE191" s="223"/>
      <c r="BF191" s="223"/>
      <c r="BG191" s="223"/>
      <c r="BH191" s="223"/>
      <c r="BI191" s="223"/>
      <c r="BJ191" s="223"/>
      <c r="BK191" s="223"/>
      <c r="BL191" s="223"/>
      <c r="BM191" s="223"/>
      <c r="BN191" s="223"/>
      <c r="BO191" s="223"/>
      <c r="BP191" s="223"/>
      <c r="BQ191" s="223"/>
      <c r="BR191" s="223"/>
      <c r="BS191" s="223"/>
      <c r="BT191" s="223"/>
      <c r="BU191" s="223"/>
      <c r="CE191" s="141" t="s">
        <v>173</v>
      </c>
      <c r="CF191" s="112" t="s">
        <v>45</v>
      </c>
      <c r="CH191" s="186">
        <f>CE190</f>
        <v>5.3961025159947917</v>
      </c>
    </row>
    <row r="192" spans="36:105" x14ac:dyDescent="0.25">
      <c r="AQ192" s="223"/>
      <c r="AR192" s="223"/>
      <c r="AS192" s="223"/>
      <c r="AT192" s="223"/>
      <c r="AU192" s="223"/>
      <c r="AV192" s="223"/>
      <c r="AW192" s="223"/>
      <c r="AX192" s="223"/>
      <c r="AY192" s="223"/>
      <c r="AZ192" s="223"/>
      <c r="BA192" s="223"/>
      <c r="BB192" s="223"/>
      <c r="BC192" s="223"/>
      <c r="BD192" s="223"/>
      <c r="BE192" s="223"/>
      <c r="BF192" s="223"/>
      <c r="BG192" s="223"/>
      <c r="BH192" s="223"/>
      <c r="BI192" s="223"/>
      <c r="BJ192" s="223"/>
      <c r="BK192" s="223"/>
      <c r="BL192" s="223"/>
      <c r="BM192" s="223"/>
      <c r="BN192" s="223"/>
      <c r="BO192" s="223"/>
      <c r="BP192" s="223"/>
      <c r="BQ192" s="223"/>
      <c r="BR192" s="223"/>
      <c r="BS192" s="223"/>
      <c r="BT192" s="223"/>
      <c r="BU192" s="223"/>
      <c r="CE192" s="141" t="s">
        <v>79</v>
      </c>
      <c r="CF192" s="141" t="s">
        <v>45</v>
      </c>
      <c r="CH192" s="186">
        <f>(CE190-$BX$181)/($BX$181-1)</f>
        <v>9.9025628998697934E-2</v>
      </c>
    </row>
    <row r="193" spans="43:99" x14ac:dyDescent="0.25">
      <c r="AQ193" s="223"/>
      <c r="AR193" s="223"/>
      <c r="AS193" s="223"/>
      <c r="AT193" s="223"/>
      <c r="AU193" s="223"/>
      <c r="AV193" s="223"/>
      <c r="AW193" s="223"/>
      <c r="AX193" s="223"/>
      <c r="AY193" s="223"/>
      <c r="AZ193" s="223"/>
      <c r="BA193" s="223"/>
      <c r="BB193" s="223"/>
      <c r="BC193" s="223"/>
      <c r="BD193" s="223"/>
      <c r="BE193" s="223"/>
      <c r="BF193" s="223"/>
      <c r="BG193" s="223"/>
      <c r="BH193" s="223"/>
      <c r="BI193" s="223"/>
      <c r="BJ193" s="223"/>
      <c r="BK193" s="223"/>
      <c r="BL193" s="223"/>
      <c r="BM193" s="223"/>
      <c r="BN193" s="223"/>
      <c r="BO193" s="223"/>
      <c r="BP193" s="223"/>
      <c r="BQ193" s="223"/>
      <c r="BR193" s="223"/>
      <c r="BS193" s="223"/>
      <c r="BT193" s="223"/>
      <c r="BU193" s="223"/>
      <c r="BV193" s="229" t="s">
        <v>100</v>
      </c>
      <c r="CD193" s="186"/>
      <c r="CE193" s="141" t="s">
        <v>80</v>
      </c>
      <c r="CF193" s="141" t="s">
        <v>45</v>
      </c>
      <c r="CH193" s="230">
        <f>CH192/BX182</f>
        <v>8.8415740177408858E-2</v>
      </c>
    </row>
    <row r="194" spans="43:99" ht="25.5" customHeight="1" x14ac:dyDescent="0.25">
      <c r="AQ194" s="223"/>
      <c r="AR194" s="223"/>
      <c r="AS194" s="223"/>
      <c r="AT194" s="223"/>
      <c r="AU194" s="223"/>
      <c r="AV194" s="223"/>
      <c r="AW194" s="223"/>
      <c r="AX194" s="223"/>
      <c r="AY194" s="223"/>
      <c r="AZ194" s="223"/>
      <c r="BA194" s="223"/>
      <c r="BB194" s="223"/>
      <c r="BC194" s="223"/>
      <c r="BD194" s="223"/>
      <c r="BE194" s="223"/>
      <c r="BF194" s="223"/>
      <c r="BG194" s="223"/>
      <c r="BH194" s="223"/>
      <c r="BI194" s="223"/>
      <c r="BJ194" s="223"/>
      <c r="BK194" s="223"/>
      <c r="BL194" s="223"/>
      <c r="BM194" s="223"/>
      <c r="BN194" s="223"/>
      <c r="BO194" s="223"/>
      <c r="BP194" s="223"/>
      <c r="BQ194" s="223"/>
      <c r="BR194" s="223"/>
      <c r="BS194" s="223"/>
      <c r="BT194" s="223"/>
      <c r="BU194" s="223"/>
      <c r="BV194" s="231" t="s">
        <v>53</v>
      </c>
      <c r="BW194" s="210" t="s">
        <v>76</v>
      </c>
      <c r="BY194" s="232" t="s">
        <v>174</v>
      </c>
    </row>
    <row r="195" spans="43:99" ht="25.5" customHeight="1" x14ac:dyDescent="0.25">
      <c r="AQ195" s="223"/>
      <c r="AR195" s="223"/>
      <c r="AS195" s="223"/>
      <c r="AT195" s="223"/>
      <c r="AU195" s="223"/>
      <c r="AV195" s="223"/>
      <c r="AW195" s="223"/>
      <c r="AX195" s="223"/>
      <c r="AY195" s="223"/>
      <c r="AZ195" s="223"/>
      <c r="BA195" s="223"/>
      <c r="BB195" s="223"/>
      <c r="BC195" s="223"/>
      <c r="BD195" s="223"/>
      <c r="BE195" s="223"/>
      <c r="BF195" s="223"/>
      <c r="BG195" s="223"/>
      <c r="BH195" s="223"/>
      <c r="BI195" s="223"/>
      <c r="BJ195" s="223"/>
      <c r="BK195" s="223"/>
      <c r="BL195" s="223"/>
      <c r="BM195" s="223"/>
      <c r="BN195" s="223"/>
      <c r="BO195" s="223"/>
      <c r="BP195" s="223"/>
      <c r="BQ195" s="223"/>
      <c r="BR195" s="223"/>
      <c r="BS195" s="223"/>
      <c r="BT195" s="223"/>
      <c r="BU195" s="223"/>
      <c r="BV195" s="231" t="s">
        <v>53</v>
      </c>
      <c r="BW195" s="210" t="s">
        <v>175</v>
      </c>
      <c r="BY195" s="232" t="s">
        <v>101</v>
      </c>
    </row>
    <row r="196" spans="43:99" ht="25.5" customHeight="1" x14ac:dyDescent="0.25">
      <c r="AQ196" s="223"/>
      <c r="AR196" s="223"/>
      <c r="AS196" s="223"/>
      <c r="AT196" s="223"/>
      <c r="AU196" s="223"/>
      <c r="AV196" s="223"/>
      <c r="AW196" s="223"/>
      <c r="AX196" s="223"/>
      <c r="AY196" s="223"/>
      <c r="AZ196" s="223"/>
      <c r="BA196" s="223"/>
      <c r="BB196" s="223"/>
      <c r="BC196" s="223"/>
      <c r="BD196" s="223"/>
      <c r="BE196" s="223"/>
      <c r="BF196" s="223"/>
      <c r="BG196" s="223"/>
      <c r="BH196" s="223"/>
      <c r="BI196" s="223"/>
      <c r="BJ196" s="223"/>
      <c r="BK196" s="223"/>
      <c r="BL196" s="223"/>
      <c r="BM196" s="223"/>
      <c r="BN196" s="223"/>
      <c r="BO196" s="223"/>
      <c r="BP196" s="223"/>
      <c r="BQ196" s="223"/>
      <c r="BR196" s="223"/>
      <c r="BS196" s="223"/>
      <c r="BT196" s="223"/>
      <c r="BU196" s="223"/>
      <c r="BV196" s="231" t="s">
        <v>53</v>
      </c>
      <c r="BW196" s="233" t="str">
        <f>CD184</f>
        <v>Eigen Vector (xi)</v>
      </c>
      <c r="BX196" s="233"/>
      <c r="BY196" s="234" t="s">
        <v>101</v>
      </c>
    </row>
    <row r="197" spans="43:99" ht="15" customHeight="1" x14ac:dyDescent="0.25">
      <c r="AQ197" s="223"/>
      <c r="AR197" s="223"/>
      <c r="AS197" s="223"/>
      <c r="AT197" s="223"/>
      <c r="AU197" s="223"/>
      <c r="AV197" s="223"/>
      <c r="AW197" s="223"/>
      <c r="AX197" s="223"/>
      <c r="AY197" s="223"/>
      <c r="AZ197" s="223"/>
      <c r="BA197" s="223"/>
      <c r="BB197" s="223"/>
      <c r="BC197" s="223"/>
      <c r="BD197" s="223"/>
      <c r="BE197" s="223"/>
      <c r="BF197" s="223"/>
      <c r="BG197" s="223"/>
      <c r="BH197" s="223"/>
      <c r="BI197" s="223"/>
      <c r="BJ197" s="223"/>
      <c r="BK197" s="223"/>
      <c r="BL197" s="223"/>
      <c r="BM197" s="223"/>
      <c r="BN197" s="223"/>
      <c r="BO197" s="223"/>
      <c r="BP197" s="223"/>
      <c r="BQ197" s="223"/>
      <c r="BR197" s="223"/>
      <c r="BS197" s="223"/>
      <c r="BT197" s="223"/>
      <c r="BU197" s="223"/>
      <c r="BV197" s="231"/>
      <c r="BW197" s="233"/>
      <c r="BX197" s="233"/>
      <c r="BY197" s="233"/>
    </row>
    <row r="198" spans="43:99" ht="25.5" customHeight="1" x14ac:dyDescent="0.25">
      <c r="AQ198" s="223"/>
      <c r="AR198" s="223"/>
      <c r="AS198" s="223"/>
      <c r="AT198" s="223"/>
      <c r="AU198" s="223"/>
      <c r="AV198" s="223"/>
      <c r="AW198" s="223"/>
      <c r="AX198" s="223"/>
      <c r="AY198" s="223"/>
      <c r="AZ198" s="223"/>
      <c r="BA198" s="223"/>
      <c r="BB198" s="223"/>
      <c r="BC198" s="223"/>
      <c r="BD198" s="223"/>
      <c r="BE198" s="223"/>
      <c r="BF198" s="223"/>
      <c r="BG198" s="223"/>
      <c r="BH198" s="223"/>
      <c r="BI198" s="223"/>
      <c r="BJ198" s="223"/>
      <c r="BK198" s="223"/>
      <c r="BL198" s="223"/>
      <c r="BM198" s="223"/>
      <c r="BN198" s="223"/>
      <c r="BO198" s="223"/>
      <c r="BP198" s="223"/>
      <c r="BQ198" s="223"/>
      <c r="BR198" s="223"/>
      <c r="BS198" s="223"/>
      <c r="BT198" s="223"/>
      <c r="BU198" s="223"/>
      <c r="BV198" s="231" t="s">
        <v>53</v>
      </c>
      <c r="BW198" s="233" t="s">
        <v>102</v>
      </c>
      <c r="BX198" s="233"/>
      <c r="BY198" s="234" t="s">
        <v>288</v>
      </c>
    </row>
    <row r="199" spans="43:99" x14ac:dyDescent="0.25">
      <c r="AQ199" s="223"/>
      <c r="AR199" s="223"/>
      <c r="AS199" s="223"/>
      <c r="AT199" s="223"/>
      <c r="AU199" s="223"/>
      <c r="AV199" s="223"/>
      <c r="AW199" s="223"/>
      <c r="AX199" s="223"/>
      <c r="AY199" s="223"/>
      <c r="AZ199" s="223"/>
      <c r="BA199" s="223"/>
      <c r="BB199" s="223"/>
      <c r="BC199" s="223"/>
      <c r="BD199" s="223"/>
      <c r="BE199" s="223"/>
      <c r="BF199" s="223"/>
      <c r="BG199" s="223"/>
      <c r="BH199" s="223"/>
      <c r="BI199" s="223"/>
      <c r="BJ199" s="223"/>
      <c r="BK199" s="223"/>
      <c r="BL199" s="223"/>
      <c r="BM199" s="223"/>
      <c r="BN199" s="223"/>
      <c r="BO199" s="223"/>
      <c r="BP199" s="223"/>
      <c r="BQ199" s="223"/>
      <c r="BR199" s="223"/>
      <c r="BS199" s="223"/>
      <c r="BT199" s="223"/>
      <c r="BU199" s="223"/>
      <c r="BV199" s="223"/>
    </row>
    <row r="200" spans="43:99" x14ac:dyDescent="0.25">
      <c r="AQ200" s="223"/>
      <c r="AR200" s="223"/>
      <c r="AS200" s="223"/>
      <c r="AT200" s="223"/>
      <c r="AU200" s="223"/>
      <c r="AV200" s="223"/>
      <c r="AW200" s="223"/>
      <c r="AX200" s="223"/>
      <c r="AY200" s="223"/>
      <c r="AZ200" s="223"/>
      <c r="BA200" s="223"/>
      <c r="BB200" s="223"/>
      <c r="BC200" s="223"/>
      <c r="BD200" s="223"/>
      <c r="BE200" s="223"/>
      <c r="BF200" s="223"/>
      <c r="BG200" s="223"/>
      <c r="BH200" s="223"/>
      <c r="BI200" s="223"/>
      <c r="BJ200" s="223"/>
      <c r="BK200" s="223"/>
      <c r="BL200" s="223"/>
      <c r="BM200" s="223"/>
      <c r="BN200" s="223"/>
      <c r="BO200" s="223"/>
      <c r="BP200" s="223"/>
      <c r="BQ200" s="223"/>
      <c r="BR200" s="223"/>
      <c r="BS200" s="223"/>
      <c r="BT200" s="223"/>
      <c r="BU200" s="223"/>
      <c r="BV200" s="223"/>
    </row>
    <row r="201" spans="43:99" x14ac:dyDescent="0.25">
      <c r="AQ201" s="223"/>
      <c r="AR201" s="223"/>
      <c r="AS201" s="223"/>
      <c r="AT201" s="223"/>
      <c r="AU201" s="223"/>
      <c r="AV201" s="223"/>
      <c r="AW201" s="223"/>
      <c r="AX201" s="223"/>
      <c r="AY201" s="223"/>
      <c r="AZ201" s="223"/>
      <c r="BA201" s="223"/>
      <c r="BB201" s="223"/>
      <c r="BC201" s="223"/>
      <c r="BD201" s="223"/>
      <c r="BE201" s="223"/>
      <c r="BF201" s="223"/>
      <c r="BG201" s="223"/>
      <c r="BH201" s="223"/>
      <c r="BI201" s="223"/>
      <c r="BJ201" s="223"/>
      <c r="BK201" s="223"/>
      <c r="BL201" s="223"/>
      <c r="BM201" s="223"/>
      <c r="BN201" s="223"/>
      <c r="BO201" s="223"/>
      <c r="BP201" s="223"/>
      <c r="BQ201" s="223"/>
      <c r="BR201" s="223"/>
      <c r="BS201" s="223"/>
      <c r="BT201" s="223"/>
      <c r="BU201" s="223"/>
      <c r="BV201" s="223"/>
    </row>
    <row r="202" spans="43:99" x14ac:dyDescent="0.25">
      <c r="AQ202" s="223"/>
      <c r="AR202" s="223"/>
      <c r="AS202" s="223"/>
      <c r="AT202" s="223"/>
      <c r="AU202" s="223"/>
      <c r="AV202" s="223"/>
      <c r="AW202" s="223"/>
      <c r="AX202" s="223"/>
      <c r="AY202" s="223"/>
      <c r="AZ202" s="223"/>
      <c r="BA202" s="223"/>
      <c r="BB202" s="223"/>
      <c r="BC202" s="223"/>
      <c r="BD202" s="223"/>
      <c r="BE202" s="223"/>
      <c r="BF202" s="223"/>
      <c r="BG202" s="223"/>
      <c r="BH202" s="223"/>
      <c r="BI202" s="223"/>
      <c r="BJ202" s="223"/>
      <c r="BK202" s="223"/>
      <c r="BL202" s="223"/>
      <c r="BM202" s="223"/>
      <c r="BN202" s="223"/>
      <c r="BO202" s="223"/>
      <c r="BP202" s="223"/>
      <c r="BQ202" s="223"/>
      <c r="BR202" s="223"/>
      <c r="BS202" s="223"/>
      <c r="BT202" s="223"/>
      <c r="BU202" s="223"/>
      <c r="BV202" s="223"/>
    </row>
    <row r="203" spans="43:99" x14ac:dyDescent="0.25">
      <c r="AQ203" s="223"/>
      <c r="AR203" s="223"/>
      <c r="AS203" s="223"/>
      <c r="AT203" s="223"/>
      <c r="AU203" s="223"/>
      <c r="AV203" s="223"/>
      <c r="AW203" s="223"/>
      <c r="AX203" s="223"/>
      <c r="AY203" s="223"/>
      <c r="AZ203" s="223"/>
      <c r="BA203" s="223"/>
      <c r="BB203" s="223"/>
      <c r="BC203" s="223"/>
      <c r="BD203" s="223"/>
      <c r="BE203" s="223"/>
      <c r="BF203" s="223"/>
      <c r="BG203" s="223"/>
      <c r="BH203" s="223"/>
      <c r="BI203" s="223"/>
      <c r="BJ203" s="223"/>
      <c r="BK203" s="223"/>
      <c r="BL203" s="223"/>
      <c r="BM203" s="223"/>
      <c r="BN203" s="223"/>
      <c r="BO203" s="223"/>
      <c r="BP203" s="223"/>
      <c r="BQ203" s="223"/>
      <c r="BR203" s="223"/>
      <c r="BS203" s="223"/>
      <c r="BT203" s="223"/>
      <c r="BU203" s="223"/>
      <c r="BV203" s="223"/>
    </row>
    <row r="204" spans="43:99" x14ac:dyDescent="0.25">
      <c r="AQ204" s="223"/>
      <c r="AR204" s="223"/>
      <c r="AS204" s="223"/>
      <c r="AT204" s="223"/>
      <c r="AU204" s="223"/>
      <c r="AV204" s="223"/>
      <c r="AW204" s="223"/>
      <c r="AX204" s="223"/>
      <c r="AY204" s="223"/>
      <c r="AZ204" s="223"/>
      <c r="BA204" s="223"/>
      <c r="BB204" s="223"/>
      <c r="BC204" s="223"/>
      <c r="BD204" s="223"/>
      <c r="BE204" s="223"/>
      <c r="BF204" s="223"/>
      <c r="BG204" s="223"/>
      <c r="BH204" s="223"/>
      <c r="BI204" s="223"/>
      <c r="BJ204" s="223"/>
      <c r="BK204" s="223"/>
      <c r="BL204" s="223"/>
      <c r="BM204" s="223"/>
      <c r="BN204" s="223"/>
      <c r="BO204" s="223"/>
      <c r="BP204" s="223"/>
      <c r="BQ204" s="223"/>
      <c r="BR204" s="223"/>
      <c r="BS204" s="223"/>
      <c r="BT204" s="223"/>
      <c r="BU204" s="223"/>
      <c r="BV204" s="223"/>
    </row>
    <row r="205" spans="43:99" ht="45" x14ac:dyDescent="0.25">
      <c r="CK205" s="235"/>
      <c r="CL205" s="214" t="s">
        <v>85</v>
      </c>
      <c r="CM205" s="214" t="s">
        <v>86</v>
      </c>
      <c r="CN205" s="214" t="s">
        <v>87</v>
      </c>
      <c r="CO205" s="214" t="s">
        <v>88</v>
      </c>
      <c r="CP205" s="214" t="s">
        <v>28</v>
      </c>
      <c r="CQ205" s="214" t="s">
        <v>89</v>
      </c>
      <c r="CR205" s="236" t="s">
        <v>76</v>
      </c>
      <c r="CS205" s="209" t="s">
        <v>172</v>
      </c>
      <c r="CT205" s="237" t="s">
        <v>77</v>
      </c>
      <c r="CU205" s="237" t="s">
        <v>78</v>
      </c>
    </row>
    <row r="206" spans="43:99" x14ac:dyDescent="0.25">
      <c r="CK206" s="144" t="s">
        <v>85</v>
      </c>
      <c r="CL206" s="238">
        <v>1</v>
      </c>
      <c r="CM206" s="239">
        <v>2.7</v>
      </c>
      <c r="CN206" s="240">
        <v>2.14</v>
      </c>
      <c r="CO206" s="240">
        <v>2.7639999999999998</v>
      </c>
      <c r="CP206" s="240">
        <v>1.577</v>
      </c>
      <c r="CQ206" s="240">
        <v>1.7549999999999999</v>
      </c>
      <c r="CR206" s="178">
        <f>CL206*CM206*CN206*CO206*CP206*CQ206</f>
        <v>44.200215862919997</v>
      </c>
      <c r="CS206" s="186">
        <f>CR206^(1/6)</f>
        <v>1.8803443885693711</v>
      </c>
      <c r="CT206" s="186">
        <f t="shared" ref="CT206:CT211" si="38">CS206/$CS$212</f>
        <v>0.29290257680782034</v>
      </c>
      <c r="CU206" s="186">
        <f>CS206+(CT206*CT207*CT208*CT209*CT210*CT211)</f>
        <v>1.8803586747048413</v>
      </c>
    </row>
    <row r="207" spans="43:99" x14ac:dyDescent="0.25">
      <c r="CK207" s="144" t="s">
        <v>86</v>
      </c>
      <c r="CL207" s="239">
        <f>1/CM206</f>
        <v>0.37037037037037035</v>
      </c>
      <c r="CM207" s="238">
        <v>1</v>
      </c>
      <c r="CN207" s="239">
        <v>1.88</v>
      </c>
      <c r="CO207" s="239">
        <v>2.3580000000000001</v>
      </c>
      <c r="CP207" s="239">
        <v>1.214</v>
      </c>
      <c r="CQ207" s="239">
        <v>1.4490000000000001</v>
      </c>
      <c r="CR207" s="178">
        <f t="shared" ref="CR207:CR211" si="39">CL207*CM207*CN207*CO207*CP207*CQ207</f>
        <v>2.8881846672</v>
      </c>
      <c r="CS207" s="186">
        <f t="shared" ref="CS207:CS211" si="40">CR207^(1/6)</f>
        <v>1.1933582128932998</v>
      </c>
      <c r="CT207" s="186">
        <f t="shared" si="38"/>
        <v>0.18589025379396745</v>
      </c>
      <c r="CU207" s="186">
        <f>CS207+(CT207*CT208*CT209*CT210*CT211*CT212)</f>
        <v>1.1934069872524256</v>
      </c>
    </row>
    <row r="208" spans="43:99" x14ac:dyDescent="0.25">
      <c r="CK208" s="144" t="s">
        <v>87</v>
      </c>
      <c r="CL208" s="240">
        <f>1/CN206</f>
        <v>0.46728971962616822</v>
      </c>
      <c r="CM208" s="239">
        <f>1/CN207</f>
        <v>0.53191489361702127</v>
      </c>
      <c r="CN208" s="238">
        <v>1</v>
      </c>
      <c r="CO208" s="239">
        <v>2.0619999999999998</v>
      </c>
      <c r="CP208" s="239">
        <v>1.6419999999999999</v>
      </c>
      <c r="CQ208" s="239">
        <v>2.04</v>
      </c>
      <c r="CR208" s="178">
        <f t="shared" si="39"/>
        <v>1.7168025850069593</v>
      </c>
      <c r="CS208" s="186">
        <f t="shared" si="40"/>
        <v>1.0942588299168126</v>
      </c>
      <c r="CT208" s="186">
        <f t="shared" si="38"/>
        <v>0.17045347273921477</v>
      </c>
      <c r="CU208" s="186">
        <f>CS208+(CT208*CT209*CT210*CT211*CT212*CT213)</f>
        <v>1.0942588299168126</v>
      </c>
    </row>
    <row r="209" spans="89:101" x14ac:dyDescent="0.25">
      <c r="CK209" s="144" t="s">
        <v>88</v>
      </c>
      <c r="CL209" s="240">
        <f>1/CO206</f>
        <v>0.36179450072358904</v>
      </c>
      <c r="CM209" s="239">
        <f>1/CO207</f>
        <v>0.42408821034775229</v>
      </c>
      <c r="CN209" s="239">
        <f>1/CO208</f>
        <v>0.48496605237633372</v>
      </c>
      <c r="CO209" s="238">
        <v>1</v>
      </c>
      <c r="CP209" s="241">
        <v>1.024</v>
      </c>
      <c r="CQ209" s="241">
        <v>0.76300000000000001</v>
      </c>
      <c r="CR209" s="178">
        <f t="shared" si="39"/>
        <v>5.8137184298894744E-2</v>
      </c>
      <c r="CS209" s="186">
        <f t="shared" si="40"/>
        <v>0.62240871594440528</v>
      </c>
      <c r="CT209" s="186">
        <f t="shared" si="38"/>
        <v>9.6953046386607303E-2</v>
      </c>
      <c r="CU209" s="186">
        <f>CS209+(CT209*CT210*CT211*CT212*CT213*CT214)</f>
        <v>0.62240871594440528</v>
      </c>
    </row>
    <row r="210" spans="89:101" x14ac:dyDescent="0.25">
      <c r="CK210" s="144" t="s">
        <v>28</v>
      </c>
      <c r="CL210" s="240">
        <f>1/CP206</f>
        <v>0.63411540900443886</v>
      </c>
      <c r="CM210" s="239">
        <f>1/CP207</f>
        <v>0.82372322899505768</v>
      </c>
      <c r="CN210" s="239">
        <f>1/CP208</f>
        <v>0.60901339829476253</v>
      </c>
      <c r="CO210" s="239">
        <f>1/CP209</f>
        <v>0.9765625</v>
      </c>
      <c r="CP210" s="238">
        <v>1</v>
      </c>
      <c r="CQ210" s="241">
        <v>1.8440000000000001</v>
      </c>
      <c r="CR210" s="178">
        <f t="shared" si="39"/>
        <v>0.57284539631585774</v>
      </c>
      <c r="CS210" s="186">
        <f t="shared" si="40"/>
        <v>0.91132420319620755</v>
      </c>
      <c r="CT210" s="186">
        <f t="shared" si="38"/>
        <v>0.14195761640589227</v>
      </c>
      <c r="CU210" s="186">
        <f>CS210+(CT210*CT211*CT212*CT213*CT214*CT215)</f>
        <v>0.91132420319620755</v>
      </c>
    </row>
    <row r="211" spans="89:101" x14ac:dyDescent="0.25">
      <c r="CK211" s="144" t="s">
        <v>89</v>
      </c>
      <c r="CL211" s="240">
        <f>1/CQ206</f>
        <v>0.56980056980056981</v>
      </c>
      <c r="CM211" s="239">
        <f>1/CQ207</f>
        <v>0.69013112491373363</v>
      </c>
      <c r="CN211" s="239">
        <f>1/CQ208</f>
        <v>0.49019607843137253</v>
      </c>
      <c r="CO211" s="239">
        <f>1/CQ209</f>
        <v>1.310615989515072</v>
      </c>
      <c r="CP211" s="239">
        <f>1/CQ210</f>
        <v>0.54229934924078094</v>
      </c>
      <c r="CQ211" s="238">
        <v>1</v>
      </c>
      <c r="CR211" s="178">
        <f t="shared" si="39"/>
        <v>0.13700577434354283</v>
      </c>
      <c r="CS211" s="186">
        <f t="shared" si="40"/>
        <v>0.71799785247170422</v>
      </c>
      <c r="CT211" s="186">
        <f t="shared" si="38"/>
        <v>0.11184303386649787</v>
      </c>
      <c r="CU211" s="186">
        <f>CS211+(CT211*CT212*CT213*CT214*CT215*CE216)</f>
        <v>0.71799785247170422</v>
      </c>
    </row>
    <row r="212" spans="89:101" x14ac:dyDescent="0.25">
      <c r="CS212" s="186">
        <f>SUM(CS206:CS211)</f>
        <v>6.4196922029918007</v>
      </c>
      <c r="CT212" s="186">
        <f>SUM(CT206:CT211)</f>
        <v>0.99999999999999989</v>
      </c>
      <c r="CU212" s="186">
        <f>SUM(CU206:CU211)</f>
        <v>6.4197552634863966</v>
      </c>
    </row>
    <row r="214" spans="89:101" x14ac:dyDescent="0.25">
      <c r="CU214" s="141" t="s">
        <v>79</v>
      </c>
      <c r="CV214" s="141" t="s">
        <v>45</v>
      </c>
      <c r="CW214" s="186">
        <f>(CU212-6)/(6-1)</f>
        <v>8.3951052697279316E-2</v>
      </c>
    </row>
    <row r="215" spans="89:101" x14ac:dyDescent="0.25">
      <c r="CU215" s="141" t="s">
        <v>80</v>
      </c>
      <c r="CV215" s="141" t="s">
        <v>45</v>
      </c>
      <c r="CW215" s="230">
        <f>CW214/1.25</f>
        <v>6.7160842157823447E-2</v>
      </c>
    </row>
  </sheetData>
  <mergeCells count="73">
    <mergeCell ref="AP108:BT108"/>
    <mergeCell ref="AS112:AT112"/>
    <mergeCell ref="BC112:BD112"/>
    <mergeCell ref="B1:T1"/>
    <mergeCell ref="W1:AL1"/>
    <mergeCell ref="B2:T2"/>
    <mergeCell ref="W2:AL2"/>
    <mergeCell ref="B3:T3"/>
    <mergeCell ref="W3:AL3"/>
    <mergeCell ref="B4:T4"/>
    <mergeCell ref="B6:D7"/>
    <mergeCell ref="E6:S6"/>
    <mergeCell ref="T6:T7"/>
    <mergeCell ref="B22:D23"/>
    <mergeCell ref="E22:S22"/>
    <mergeCell ref="T22:T23"/>
    <mergeCell ref="AO105:BT105"/>
    <mergeCell ref="AO106:BT106"/>
    <mergeCell ref="W77:AL77"/>
    <mergeCell ref="W78:AL78"/>
    <mergeCell ref="W79:AL79"/>
    <mergeCell ref="W41:AL41"/>
    <mergeCell ref="W42:AL42"/>
    <mergeCell ref="W43:AL43"/>
    <mergeCell ref="AO103:BT103"/>
    <mergeCell ref="AO104:BT104"/>
    <mergeCell ref="AO141:BT141"/>
    <mergeCell ref="AO142:BT142"/>
    <mergeCell ref="AO143:BT143"/>
    <mergeCell ref="AQ149:AR149"/>
    <mergeCell ref="AS149:AT149"/>
    <mergeCell ref="AU149:AV149"/>
    <mergeCell ref="AW149:AX149"/>
    <mergeCell ref="AY149:AZ149"/>
    <mergeCell ref="BC149:BD149"/>
    <mergeCell ref="BE149:BF149"/>
    <mergeCell ref="BG149:BH149"/>
    <mergeCell ref="AP145:BT145"/>
    <mergeCell ref="BI149:BJ149"/>
    <mergeCell ref="BA149:BB149"/>
    <mergeCell ref="BA112:BB112"/>
    <mergeCell ref="AY112:AZ112"/>
    <mergeCell ref="AW112:AX112"/>
    <mergeCell ref="AU112:AV112"/>
    <mergeCell ref="AO140:BT140"/>
    <mergeCell ref="BE112:BF112"/>
    <mergeCell ref="BG112:BH112"/>
    <mergeCell ref="AQ112:AR112"/>
    <mergeCell ref="BI112:BJ112"/>
    <mergeCell ref="BU177:CI177"/>
    <mergeCell ref="BU178:CI178"/>
    <mergeCell ref="BA166:BB166"/>
    <mergeCell ref="AQ165:AR165"/>
    <mergeCell ref="AS165:AT165"/>
    <mergeCell ref="AU165:AV165"/>
    <mergeCell ref="AW165:AX165"/>
    <mergeCell ref="AY165:AZ165"/>
    <mergeCell ref="BA165:BB165"/>
    <mergeCell ref="AQ166:AR166"/>
    <mergeCell ref="AS166:AT166"/>
    <mergeCell ref="AU166:AV166"/>
    <mergeCell ref="AW166:AX166"/>
    <mergeCell ref="AY166:AZ166"/>
    <mergeCell ref="BC166:BD166"/>
    <mergeCell ref="BC165:BD165"/>
    <mergeCell ref="BG166:BH166"/>
    <mergeCell ref="BI166:BJ166"/>
    <mergeCell ref="BU176:CI176"/>
    <mergeCell ref="BU175:CI175"/>
    <mergeCell ref="BE165:BF165"/>
    <mergeCell ref="BG165:BH165"/>
    <mergeCell ref="BI165:BJ165"/>
    <mergeCell ref="BE166:BF166"/>
  </mergeCells>
  <printOptions horizontalCentered="1"/>
  <pageMargins left="0.98425196850393704" right="0.98425196850393704" top="0.78740157480314965" bottom="0.78740157480314965" header="0.31496062992125984" footer="0.31496062992125984"/>
  <pageSetup paperSize="9" scale="90" orientation="landscape"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N105"/>
  <sheetViews>
    <sheetView showGridLines="0" view="pageBreakPreview" topLeftCell="A7" zoomScale="70" zoomScaleNormal="70" zoomScaleSheetLayoutView="70" workbookViewId="0">
      <selection activeCell="A9" sqref="A9:XFD11"/>
    </sheetView>
  </sheetViews>
  <sheetFormatPr defaultRowHeight="15" x14ac:dyDescent="0.25"/>
  <cols>
    <col min="1" max="1" width="1.7109375" customWidth="1"/>
    <col min="2" max="2" width="4.42578125" style="72" customWidth="1"/>
    <col min="3" max="3" width="15.7109375" customWidth="1"/>
    <col min="4" max="4" width="21.42578125" bestFit="1" customWidth="1"/>
    <col min="5" max="6" width="9.28515625" customWidth="1"/>
    <col min="7" max="7" width="11.28515625" customWidth="1"/>
    <col min="8" max="8" width="8.7109375" customWidth="1"/>
    <col min="9" max="9" width="13.28515625" customWidth="1"/>
    <col min="10" max="10" width="8.85546875" customWidth="1"/>
    <col min="13" max="13" width="1.7109375" customWidth="1"/>
  </cols>
  <sheetData>
    <row r="1" spans="1:13" x14ac:dyDescent="0.25">
      <c r="I1" s="113"/>
      <c r="K1" s="113" t="s">
        <v>180</v>
      </c>
    </row>
    <row r="2" spans="1:13" x14ac:dyDescent="0.25">
      <c r="C2" s="384" t="str">
        <f>'Test AHP'!BU175</f>
        <v>LAMPIRAN PERHITUNGAN PENELITIAN</v>
      </c>
      <c r="D2" s="384"/>
      <c r="E2" s="384"/>
      <c r="F2" s="384"/>
      <c r="G2" s="384"/>
      <c r="H2" s="384"/>
      <c r="I2" s="384"/>
      <c r="J2" s="384"/>
      <c r="K2" s="384"/>
      <c r="L2" s="269"/>
    </row>
    <row r="3" spans="1:13" x14ac:dyDescent="0.25">
      <c r="C3" s="384" t="str">
        <f>'Test AHP'!BU176</f>
        <v xml:space="preserve">PERENCANAAN PEMELIHARAAN JALAN DANPENENTUAN SKALA PRIORITAS PEMELIHARAAN JALAN 
</v>
      </c>
      <c r="D3" s="384"/>
      <c r="E3" s="384"/>
      <c r="F3" s="384"/>
      <c r="G3" s="384"/>
      <c r="H3" s="384"/>
      <c r="I3" s="384"/>
      <c r="J3" s="384"/>
      <c r="K3" s="384"/>
      <c r="L3" s="269"/>
    </row>
    <row r="4" spans="1:13" x14ac:dyDescent="0.25">
      <c r="C4" s="384" t="str">
        <f>'Test AHP'!BU177</f>
        <v>STUDI  KASUS KOTA PAYAKUMBUH PROVINSI SUMATERA BARAT</v>
      </c>
      <c r="D4" s="384"/>
      <c r="E4" s="384"/>
      <c r="F4" s="384"/>
      <c r="G4" s="384"/>
      <c r="H4" s="384"/>
      <c r="I4" s="384"/>
      <c r="J4" s="384"/>
      <c r="K4" s="384"/>
      <c r="L4" s="269"/>
    </row>
    <row r="5" spans="1:13" ht="2.25" customHeight="1" x14ac:dyDescent="0.25">
      <c r="A5" s="242"/>
      <c r="B5" s="243"/>
      <c r="C5" s="243"/>
      <c r="D5" s="243"/>
      <c r="E5" s="243"/>
      <c r="F5" s="243"/>
      <c r="G5" s="243"/>
      <c r="H5" s="243"/>
      <c r="I5" s="243"/>
      <c r="J5" s="243"/>
      <c r="K5" s="243"/>
      <c r="L5" s="243"/>
      <c r="M5" s="242"/>
    </row>
    <row r="6" spans="1:13" x14ac:dyDescent="0.25">
      <c r="C6" s="72"/>
      <c r="D6" s="72"/>
      <c r="E6" s="72"/>
      <c r="F6" s="72"/>
      <c r="G6" s="72"/>
      <c r="H6" s="72"/>
      <c r="I6" s="269"/>
      <c r="J6" s="72"/>
      <c r="K6" s="72"/>
      <c r="L6" s="269"/>
    </row>
    <row r="7" spans="1:13" ht="15.75" x14ac:dyDescent="0.25">
      <c r="B7" s="385" t="s">
        <v>179</v>
      </c>
      <c r="C7" s="385"/>
      <c r="D7" s="385"/>
      <c r="E7" s="385"/>
      <c r="F7" s="385"/>
      <c r="G7" s="385"/>
      <c r="H7" s="385"/>
      <c r="I7" s="385"/>
      <c r="J7" s="385"/>
      <c r="K7" s="385"/>
      <c r="L7" s="270"/>
    </row>
    <row r="9" spans="1:13" ht="15" customHeight="1" x14ac:dyDescent="0.25">
      <c r="B9" s="387" t="s">
        <v>160</v>
      </c>
      <c r="C9" s="387" t="s">
        <v>139</v>
      </c>
      <c r="D9" s="372" t="s">
        <v>145</v>
      </c>
      <c r="E9" s="373"/>
      <c r="F9" s="374"/>
      <c r="G9" s="383" t="s">
        <v>144</v>
      </c>
      <c r="H9" s="383"/>
      <c r="I9" s="383"/>
      <c r="J9" s="383"/>
      <c r="K9" s="382" t="s">
        <v>158</v>
      </c>
      <c r="L9" s="392" t="s">
        <v>251</v>
      </c>
    </row>
    <row r="10" spans="1:13" x14ac:dyDescent="0.25">
      <c r="B10" s="388"/>
      <c r="C10" s="388"/>
      <c r="D10" s="108" t="s">
        <v>141</v>
      </c>
      <c r="E10" s="108" t="s">
        <v>142</v>
      </c>
      <c r="F10" s="108" t="s">
        <v>143</v>
      </c>
      <c r="G10" s="108" t="s">
        <v>140</v>
      </c>
      <c r="H10" s="108" t="s">
        <v>142</v>
      </c>
      <c r="I10" s="271" t="s">
        <v>143</v>
      </c>
      <c r="J10" s="108" t="s">
        <v>143</v>
      </c>
      <c r="K10" s="382"/>
      <c r="L10" s="393"/>
    </row>
    <row r="11" spans="1:13" x14ac:dyDescent="0.25">
      <c r="B11" s="389"/>
      <c r="C11" s="389"/>
      <c r="D11" s="108" t="s">
        <v>151</v>
      </c>
      <c r="E11" s="108" t="s">
        <v>150</v>
      </c>
      <c r="F11" s="108" t="s">
        <v>152</v>
      </c>
      <c r="G11" s="108" t="s">
        <v>153</v>
      </c>
      <c r="H11" s="108" t="s">
        <v>154</v>
      </c>
      <c r="I11" s="271" t="s">
        <v>291</v>
      </c>
      <c r="J11" s="108" t="s">
        <v>247</v>
      </c>
      <c r="K11" s="108" t="s">
        <v>159</v>
      </c>
      <c r="L11" s="394"/>
    </row>
    <row r="12" spans="1:13" ht="15" customHeight="1" x14ac:dyDescent="0.25">
      <c r="B12" s="109">
        <v>1</v>
      </c>
      <c r="C12" s="99" t="s">
        <v>155</v>
      </c>
      <c r="D12" s="106" t="s">
        <v>146</v>
      </c>
      <c r="E12" s="107">
        <v>0.28499999999999998</v>
      </c>
      <c r="F12" s="107">
        <v>0</v>
      </c>
      <c r="G12" s="375" t="s">
        <v>1</v>
      </c>
      <c r="H12" s="377">
        <v>0.34899999999999998</v>
      </c>
      <c r="I12" s="379">
        <f>((E12*F12)+(E13*F13)+(E14*F14)+(E15*F15))</f>
        <v>0.41599999999999998</v>
      </c>
      <c r="J12" s="379">
        <f>H12*I12</f>
        <v>0.14518399999999998</v>
      </c>
      <c r="K12" s="379">
        <f>J12+J16+J18+J20+J23</f>
        <v>0.50368400000000002</v>
      </c>
      <c r="L12" s="379" t="s">
        <v>254</v>
      </c>
    </row>
    <row r="13" spans="1:13" x14ac:dyDescent="0.25">
      <c r="B13" s="110"/>
      <c r="C13" s="100"/>
      <c r="D13" s="74" t="s">
        <v>147</v>
      </c>
      <c r="E13" s="103">
        <v>0.23899999999999999</v>
      </c>
      <c r="F13" s="103">
        <v>1</v>
      </c>
      <c r="G13" s="376"/>
      <c r="H13" s="378"/>
      <c r="I13" s="380"/>
      <c r="J13" s="380"/>
      <c r="K13" s="378"/>
      <c r="L13" s="378"/>
    </row>
    <row r="14" spans="1:13" x14ac:dyDescent="0.25">
      <c r="B14" s="110"/>
      <c r="C14" s="100"/>
      <c r="D14" s="74" t="s">
        <v>148</v>
      </c>
      <c r="E14" s="103">
        <v>0.29699999999999999</v>
      </c>
      <c r="F14" s="103">
        <v>0</v>
      </c>
      <c r="G14" s="376"/>
      <c r="H14" s="378"/>
      <c r="I14" s="380"/>
      <c r="J14" s="380"/>
      <c r="K14" s="378"/>
      <c r="L14" s="378"/>
    </row>
    <row r="15" spans="1:13" x14ac:dyDescent="0.25">
      <c r="B15" s="110"/>
      <c r="C15" s="100"/>
      <c r="D15" s="104" t="s">
        <v>149</v>
      </c>
      <c r="E15" s="105">
        <v>0.17699999999999999</v>
      </c>
      <c r="F15" s="105">
        <v>1</v>
      </c>
      <c r="G15" s="376"/>
      <c r="H15" s="378"/>
      <c r="I15" s="380"/>
      <c r="J15" s="380"/>
      <c r="K15" s="378"/>
      <c r="L15" s="378"/>
    </row>
    <row r="16" spans="1:13" ht="15" customHeight="1" x14ac:dyDescent="0.25">
      <c r="B16" s="110"/>
      <c r="C16" s="100"/>
      <c r="D16" s="3" t="s">
        <v>156</v>
      </c>
      <c r="E16" s="102">
        <v>0.52800000000000002</v>
      </c>
      <c r="F16" s="102">
        <v>0</v>
      </c>
      <c r="G16" s="376" t="s">
        <v>8</v>
      </c>
      <c r="H16" s="378">
        <v>0.19600000000000001</v>
      </c>
      <c r="I16" s="380">
        <f>((E16*F16)+(E17*F17))</f>
        <v>0.23599999999999999</v>
      </c>
      <c r="J16" s="380">
        <f>H16*I16</f>
        <v>4.6255999999999999E-2</v>
      </c>
      <c r="K16" s="378"/>
      <c r="L16" s="378"/>
    </row>
    <row r="17" spans="2:12" x14ac:dyDescent="0.25">
      <c r="B17" s="110"/>
      <c r="C17" s="100"/>
      <c r="D17" s="104" t="s">
        <v>157</v>
      </c>
      <c r="E17" s="105">
        <v>0.47199999999999998</v>
      </c>
      <c r="F17" s="105">
        <v>0.5</v>
      </c>
      <c r="G17" s="376"/>
      <c r="H17" s="378"/>
      <c r="I17" s="380"/>
      <c r="J17" s="380"/>
      <c r="K17" s="378"/>
      <c r="L17" s="378"/>
    </row>
    <row r="18" spans="2:12" x14ac:dyDescent="0.25">
      <c r="B18" s="110"/>
      <c r="C18" s="100"/>
      <c r="D18" s="3" t="s">
        <v>248</v>
      </c>
      <c r="E18" s="102">
        <v>0.49199999999999999</v>
      </c>
      <c r="F18" s="102">
        <v>0</v>
      </c>
      <c r="G18" s="376" t="s">
        <v>11</v>
      </c>
      <c r="H18" s="378">
        <v>0.19500000000000001</v>
      </c>
      <c r="I18" s="380">
        <f>((E18*F18)+(E19*F19))</f>
        <v>0.50800000000000001</v>
      </c>
      <c r="J18" s="381">
        <f>H18*I18</f>
        <v>9.9060000000000009E-2</v>
      </c>
      <c r="K18" s="378"/>
      <c r="L18" s="378"/>
    </row>
    <row r="19" spans="2:12" x14ac:dyDescent="0.25">
      <c r="B19" s="110"/>
      <c r="C19" s="100"/>
      <c r="D19" s="104" t="s">
        <v>12</v>
      </c>
      <c r="E19" s="105">
        <v>0.50800000000000001</v>
      </c>
      <c r="F19" s="105">
        <v>1</v>
      </c>
      <c r="G19" s="376"/>
      <c r="H19" s="378"/>
      <c r="I19" s="380"/>
      <c r="J19" s="379"/>
      <c r="K19" s="378"/>
      <c r="L19" s="378"/>
    </row>
    <row r="20" spans="2:12" x14ac:dyDescent="0.25">
      <c r="B20" s="110"/>
      <c r="C20" s="100"/>
      <c r="D20" s="3" t="s">
        <v>14</v>
      </c>
      <c r="E20" s="102">
        <v>0.372</v>
      </c>
      <c r="F20" s="102">
        <v>1</v>
      </c>
      <c r="G20" s="376" t="s">
        <v>13</v>
      </c>
      <c r="H20" s="378">
        <v>0.152</v>
      </c>
      <c r="I20" s="380">
        <f>((E20*F20)+(E21*F21)+(E22*F22))</f>
        <v>0.69199999999999995</v>
      </c>
      <c r="J20" s="380">
        <f>H20*I20</f>
        <v>0.10518399999999999</v>
      </c>
      <c r="K20" s="378"/>
      <c r="L20" s="378"/>
    </row>
    <row r="21" spans="2:12" x14ac:dyDescent="0.25">
      <c r="B21" s="110"/>
      <c r="C21" s="100"/>
      <c r="D21" s="74" t="s">
        <v>249</v>
      </c>
      <c r="E21" s="103">
        <v>0.308</v>
      </c>
      <c r="F21" s="103">
        <v>0</v>
      </c>
      <c r="G21" s="376"/>
      <c r="H21" s="378"/>
      <c r="I21" s="380"/>
      <c r="J21" s="380"/>
      <c r="K21" s="378"/>
      <c r="L21" s="378"/>
    </row>
    <row r="22" spans="2:12" x14ac:dyDescent="0.25">
      <c r="B22" s="110"/>
      <c r="C22" s="100"/>
      <c r="D22" s="104" t="s">
        <v>162</v>
      </c>
      <c r="E22" s="277">
        <v>0.32</v>
      </c>
      <c r="F22" s="105">
        <v>1</v>
      </c>
      <c r="G22" s="376"/>
      <c r="H22" s="378"/>
      <c r="I22" s="380"/>
      <c r="J22" s="380"/>
      <c r="K22" s="378"/>
      <c r="L22" s="378"/>
    </row>
    <row r="23" spans="2:12" ht="30" x14ac:dyDescent="0.25">
      <c r="B23" s="111"/>
      <c r="C23" s="101"/>
      <c r="D23" s="276" t="s">
        <v>186</v>
      </c>
      <c r="E23" s="97">
        <v>1</v>
      </c>
      <c r="F23" s="71">
        <v>1</v>
      </c>
      <c r="G23" s="98" t="s">
        <v>186</v>
      </c>
      <c r="H23" s="71">
        <v>0.108</v>
      </c>
      <c r="I23" s="268">
        <f>(F23*E23)</f>
        <v>1</v>
      </c>
      <c r="J23" s="97">
        <f>H23*I23</f>
        <v>0.108</v>
      </c>
      <c r="K23" s="378"/>
      <c r="L23" s="378"/>
    </row>
    <row r="24" spans="2:12" ht="15" customHeight="1" x14ac:dyDescent="0.25">
      <c r="B24" s="109">
        <v>2</v>
      </c>
      <c r="C24" s="99" t="s">
        <v>161</v>
      </c>
      <c r="D24" s="106" t="str">
        <f>$D$12</f>
        <v>Berlubang</v>
      </c>
      <c r="E24" s="278">
        <f>$E$12</f>
        <v>0.28499999999999998</v>
      </c>
      <c r="F24" s="107">
        <v>0</v>
      </c>
      <c r="G24" s="375" t="str">
        <f>$G$12</f>
        <v>Kondisi Jalan</v>
      </c>
      <c r="H24" s="377">
        <f>$H$12</f>
        <v>0.34899999999999998</v>
      </c>
      <c r="I24" s="379">
        <f>((E24*F24)+(E25*F25)+(E26*F26)+(E27*F27))</f>
        <v>0.23899999999999999</v>
      </c>
      <c r="J24" s="379">
        <f>H24*I24</f>
        <v>8.3410999999999985E-2</v>
      </c>
      <c r="K24" s="379">
        <f>J24+J28+J30+J32+J35</f>
        <v>0.44191099999999994</v>
      </c>
      <c r="L24" s="379" t="s">
        <v>29</v>
      </c>
    </row>
    <row r="25" spans="2:12" x14ac:dyDescent="0.25">
      <c r="B25" s="110"/>
      <c r="C25" s="100"/>
      <c r="D25" s="74" t="str">
        <f>$D$13</f>
        <v>Retak</v>
      </c>
      <c r="E25" s="279">
        <f>$E$13</f>
        <v>0.23899999999999999</v>
      </c>
      <c r="F25" s="103">
        <v>1</v>
      </c>
      <c r="G25" s="376"/>
      <c r="H25" s="378"/>
      <c r="I25" s="380"/>
      <c r="J25" s="380"/>
      <c r="K25" s="378"/>
      <c r="L25" s="378"/>
    </row>
    <row r="26" spans="2:12" x14ac:dyDescent="0.25">
      <c r="B26" s="110"/>
      <c r="C26" s="100"/>
      <c r="D26" s="74" t="str">
        <f>$D$14</f>
        <v>Amblas</v>
      </c>
      <c r="E26" s="279">
        <f>$E$14</f>
        <v>0.29699999999999999</v>
      </c>
      <c r="F26" s="103">
        <v>0</v>
      </c>
      <c r="G26" s="376"/>
      <c r="H26" s="378"/>
      <c r="I26" s="380"/>
      <c r="J26" s="380"/>
      <c r="K26" s="378"/>
      <c r="L26" s="378"/>
    </row>
    <row r="27" spans="2:12" x14ac:dyDescent="0.25">
      <c r="B27" s="110"/>
      <c r="C27" s="100"/>
      <c r="D27" s="104" t="str">
        <f>$D$15</f>
        <v>Bahu</v>
      </c>
      <c r="E27" s="280">
        <f>$E$15</f>
        <v>0.17699999999999999</v>
      </c>
      <c r="F27" s="105">
        <v>0</v>
      </c>
      <c r="G27" s="376"/>
      <c r="H27" s="378"/>
      <c r="I27" s="380"/>
      <c r="J27" s="380"/>
      <c r="K27" s="378"/>
      <c r="L27" s="378"/>
    </row>
    <row r="28" spans="2:12" x14ac:dyDescent="0.25">
      <c r="B28" s="110"/>
      <c r="C28" s="100"/>
      <c r="D28" s="3" t="str">
        <f>$D$16</f>
        <v>Jenis Kendaraan Lewat</v>
      </c>
      <c r="E28" s="281">
        <f>$E$16</f>
        <v>0.52800000000000002</v>
      </c>
      <c r="F28" s="102">
        <v>0</v>
      </c>
      <c r="G28" s="376" t="str">
        <f>$G$16</f>
        <v>Volume Lalu Lintas</v>
      </c>
      <c r="H28" s="378">
        <f>$H$16</f>
        <v>0.19600000000000001</v>
      </c>
      <c r="I28" s="380">
        <f>((E28*F28)+(E29*F29))</f>
        <v>0.23599999999999999</v>
      </c>
      <c r="J28" s="380">
        <f>H28*I28</f>
        <v>4.6255999999999999E-2</v>
      </c>
      <c r="K28" s="378"/>
      <c r="L28" s="378"/>
    </row>
    <row r="29" spans="2:12" x14ac:dyDescent="0.25">
      <c r="B29" s="110"/>
      <c r="C29" s="100"/>
      <c r="D29" s="104" t="str">
        <f>$D$17</f>
        <v>Volume Kendaraan</v>
      </c>
      <c r="E29" s="280">
        <f>$E$17</f>
        <v>0.47199999999999998</v>
      </c>
      <c r="F29" s="105">
        <v>0.5</v>
      </c>
      <c r="G29" s="376"/>
      <c r="H29" s="378"/>
      <c r="I29" s="380"/>
      <c r="J29" s="380"/>
      <c r="K29" s="378"/>
      <c r="L29" s="378"/>
    </row>
    <row r="30" spans="2:12" ht="15" customHeight="1" x14ac:dyDescent="0.25">
      <c r="B30" s="110"/>
      <c r="C30" s="100"/>
      <c r="D30" s="3" t="str">
        <f>$D$18</f>
        <v>Dampak Manfaat</v>
      </c>
      <c r="E30" s="281">
        <f>$E$18</f>
        <v>0.49199999999999999</v>
      </c>
      <c r="F30" s="102">
        <v>0</v>
      </c>
      <c r="G30" s="386" t="str">
        <f>$G$18</f>
        <v>Ekonomi</v>
      </c>
      <c r="H30" s="378">
        <f>$H$18</f>
        <v>0.19500000000000001</v>
      </c>
      <c r="I30" s="380">
        <f>((E30*F30)+(E31*F31))</f>
        <v>0.50800000000000001</v>
      </c>
      <c r="J30" s="381">
        <f>H30*I30</f>
        <v>9.9060000000000009E-2</v>
      </c>
      <c r="K30" s="378"/>
      <c r="L30" s="378"/>
    </row>
    <row r="31" spans="2:12" x14ac:dyDescent="0.25">
      <c r="B31" s="110"/>
      <c r="C31" s="100"/>
      <c r="D31" s="104" t="str">
        <f>$D$19</f>
        <v>Estimasi Biaya</v>
      </c>
      <c r="E31" s="280">
        <f>$E$19</f>
        <v>0.50800000000000001</v>
      </c>
      <c r="F31" s="105">
        <v>1</v>
      </c>
      <c r="G31" s="375"/>
      <c r="H31" s="378"/>
      <c r="I31" s="380"/>
      <c r="J31" s="379"/>
      <c r="K31" s="378"/>
      <c r="L31" s="378"/>
    </row>
    <row r="32" spans="2:12" x14ac:dyDescent="0.25">
      <c r="B32" s="110"/>
      <c r="C32" s="100"/>
      <c r="D32" s="3" t="str">
        <f>$D$20</f>
        <v>Usulan Musrenbang</v>
      </c>
      <c r="E32" s="281">
        <f>$E$20</f>
        <v>0.372</v>
      </c>
      <c r="F32" s="102">
        <v>1</v>
      </c>
      <c r="G32" s="376" t="str">
        <f>$G$20</f>
        <v>Kebijakan</v>
      </c>
      <c r="H32" s="378">
        <f>$H$20</f>
        <v>0.152</v>
      </c>
      <c r="I32" s="380">
        <f>((E32*F32)+(E33*F33)+(E34*F34))</f>
        <v>0.69199999999999995</v>
      </c>
      <c r="J32" s="380">
        <f>H32*I32</f>
        <v>0.10518399999999999</v>
      </c>
      <c r="K32" s="378"/>
      <c r="L32" s="378"/>
    </row>
    <row r="33" spans="2:14" x14ac:dyDescent="0.25">
      <c r="B33" s="110"/>
      <c r="C33" s="100"/>
      <c r="D33" s="74" t="str">
        <f>$D$21</f>
        <v>Pengembangan Wilayah</v>
      </c>
      <c r="E33" s="279">
        <f>$E$21</f>
        <v>0.308</v>
      </c>
      <c r="F33" s="103">
        <v>0</v>
      </c>
      <c r="G33" s="376"/>
      <c r="H33" s="378"/>
      <c r="I33" s="380"/>
      <c r="J33" s="380"/>
      <c r="K33" s="378"/>
      <c r="L33" s="378"/>
    </row>
    <row r="34" spans="2:14" x14ac:dyDescent="0.25">
      <c r="B34" s="110"/>
      <c r="C34" s="100"/>
      <c r="D34" s="104" t="str">
        <f>$D$22</f>
        <v>Kebijakan Lain</v>
      </c>
      <c r="E34" s="280">
        <f>$E$22</f>
        <v>0.32</v>
      </c>
      <c r="F34" s="105">
        <v>1</v>
      </c>
      <c r="G34" s="376"/>
      <c r="H34" s="378"/>
      <c r="I34" s="380"/>
      <c r="J34" s="380"/>
      <c r="K34" s="378"/>
      <c r="L34" s="378"/>
    </row>
    <row r="35" spans="2:14" ht="30" x14ac:dyDescent="0.25">
      <c r="B35" s="111"/>
      <c r="C35" s="101"/>
      <c r="D35" s="276" t="str">
        <f>$D$23</f>
        <v>Aksesibilitas</v>
      </c>
      <c r="E35" s="282">
        <f>E23</f>
        <v>1</v>
      </c>
      <c r="F35" s="71">
        <v>1</v>
      </c>
      <c r="G35" s="98" t="str">
        <f>$G$23</f>
        <v>Aksesibilitas</v>
      </c>
      <c r="H35" s="267">
        <f>$H$23</f>
        <v>0.108</v>
      </c>
      <c r="I35" s="268">
        <f>(F35*E35)</f>
        <v>1</v>
      </c>
      <c r="J35" s="268">
        <f>H35*I35</f>
        <v>0.108</v>
      </c>
      <c r="K35" s="378"/>
      <c r="L35" s="378"/>
    </row>
    <row r="36" spans="2:14" ht="15" customHeight="1" x14ac:dyDescent="0.25">
      <c r="B36" s="109">
        <v>3</v>
      </c>
      <c r="C36" s="390" t="s">
        <v>163</v>
      </c>
      <c r="D36" s="106" t="str">
        <f>$D$12</f>
        <v>Berlubang</v>
      </c>
      <c r="E36" s="278">
        <f>$E$12</f>
        <v>0.28499999999999998</v>
      </c>
      <c r="F36" s="107">
        <v>1</v>
      </c>
      <c r="G36" s="375" t="str">
        <f>$G$12</f>
        <v>Kondisi Jalan</v>
      </c>
      <c r="H36" s="377">
        <f>$H$12</f>
        <v>0.34899999999999998</v>
      </c>
      <c r="I36" s="379">
        <f>((E36*F36)+(E37*F37)+(E38*F38)+(E39*F39))</f>
        <v>0.70100000000000007</v>
      </c>
      <c r="J36" s="379">
        <f>H36*I36</f>
        <v>0.24464900000000001</v>
      </c>
      <c r="K36" s="379">
        <f>J36+J40+J42+J44+J47</f>
        <v>0.53884500000000002</v>
      </c>
      <c r="L36" s="379" t="s">
        <v>253</v>
      </c>
    </row>
    <row r="37" spans="2:14" x14ac:dyDescent="0.25">
      <c r="B37" s="110"/>
      <c r="C37" s="391"/>
      <c r="D37" s="74" t="str">
        <f>$D$13</f>
        <v>Retak</v>
      </c>
      <c r="E37" s="279">
        <f>$E$13</f>
        <v>0.23899999999999999</v>
      </c>
      <c r="F37" s="272">
        <v>1</v>
      </c>
      <c r="G37" s="376"/>
      <c r="H37" s="378"/>
      <c r="I37" s="380"/>
      <c r="J37" s="380"/>
      <c r="K37" s="378"/>
      <c r="L37" s="378"/>
    </row>
    <row r="38" spans="2:14" x14ac:dyDescent="0.25">
      <c r="B38" s="110"/>
      <c r="C38" s="100"/>
      <c r="D38" s="74" t="str">
        <f>$D$14</f>
        <v>Amblas</v>
      </c>
      <c r="E38" s="279">
        <f>$E$14</f>
        <v>0.29699999999999999</v>
      </c>
      <c r="F38" s="272">
        <v>0</v>
      </c>
      <c r="G38" s="376"/>
      <c r="H38" s="378"/>
      <c r="I38" s="380"/>
      <c r="J38" s="380"/>
      <c r="K38" s="378"/>
      <c r="L38" s="378"/>
    </row>
    <row r="39" spans="2:14" x14ac:dyDescent="0.25">
      <c r="B39" s="110"/>
      <c r="C39" s="100"/>
      <c r="D39" s="104" t="str">
        <f>$D$15</f>
        <v>Bahu</v>
      </c>
      <c r="E39" s="280">
        <f>$E$15</f>
        <v>0.17699999999999999</v>
      </c>
      <c r="F39" s="105">
        <v>1</v>
      </c>
      <c r="G39" s="376"/>
      <c r="H39" s="378"/>
      <c r="I39" s="380"/>
      <c r="J39" s="380"/>
      <c r="K39" s="378"/>
      <c r="L39" s="378"/>
    </row>
    <row r="40" spans="2:14" x14ac:dyDescent="0.25">
      <c r="B40" s="110"/>
      <c r="C40" s="100"/>
      <c r="D40" s="3" t="str">
        <f>$D$16</f>
        <v>Jenis Kendaraan Lewat</v>
      </c>
      <c r="E40" s="281">
        <f>$E$16</f>
        <v>0.52800000000000002</v>
      </c>
      <c r="F40" s="102">
        <v>0</v>
      </c>
      <c r="G40" s="376" t="str">
        <f>$G$16</f>
        <v>Volume Lalu Lintas</v>
      </c>
      <c r="H40" s="378">
        <f>$H$16</f>
        <v>0.19600000000000001</v>
      </c>
      <c r="I40" s="380">
        <f>((E40*F40)+(E41*F41))</f>
        <v>0.23599999999999999</v>
      </c>
      <c r="J40" s="380">
        <f>H40*I40</f>
        <v>4.6255999999999999E-2</v>
      </c>
      <c r="K40" s="378"/>
      <c r="L40" s="378"/>
    </row>
    <row r="41" spans="2:14" x14ac:dyDescent="0.25">
      <c r="B41" s="110"/>
      <c r="C41" s="100"/>
      <c r="D41" s="104" t="str">
        <f>$D$17</f>
        <v>Volume Kendaraan</v>
      </c>
      <c r="E41" s="280">
        <f>$E$17</f>
        <v>0.47199999999999998</v>
      </c>
      <c r="F41" s="105">
        <v>0.5</v>
      </c>
      <c r="G41" s="376"/>
      <c r="H41" s="378"/>
      <c r="I41" s="380"/>
      <c r="J41" s="380"/>
      <c r="K41" s="378"/>
      <c r="L41" s="378"/>
    </row>
    <row r="42" spans="2:14" ht="15" customHeight="1" x14ac:dyDescent="0.25">
      <c r="B42" s="110"/>
      <c r="C42" s="100"/>
      <c r="D42" s="3" t="str">
        <f>$D$18</f>
        <v>Dampak Manfaat</v>
      </c>
      <c r="E42" s="281">
        <f>$E$18</f>
        <v>0.49199999999999999</v>
      </c>
      <c r="F42" s="102">
        <v>1</v>
      </c>
      <c r="G42" s="386" t="str">
        <f>$G$18</f>
        <v>Ekonomi</v>
      </c>
      <c r="H42" s="378">
        <f>$H$18</f>
        <v>0.19500000000000001</v>
      </c>
      <c r="I42" s="380">
        <f>((E42*F42)+(E43*F43))</f>
        <v>0.49199999999999999</v>
      </c>
      <c r="J42" s="381">
        <f>H42*I42</f>
        <v>9.5939999999999998E-2</v>
      </c>
      <c r="K42" s="378"/>
      <c r="L42" s="378"/>
    </row>
    <row r="43" spans="2:14" x14ac:dyDescent="0.25">
      <c r="B43" s="110"/>
      <c r="C43" s="100"/>
      <c r="D43" s="104" t="str">
        <f>$D$19</f>
        <v>Estimasi Biaya</v>
      </c>
      <c r="E43" s="280">
        <f>$E$19</f>
        <v>0.50800000000000001</v>
      </c>
      <c r="F43" s="105">
        <v>0</v>
      </c>
      <c r="G43" s="375"/>
      <c r="H43" s="378"/>
      <c r="I43" s="380"/>
      <c r="J43" s="379"/>
      <c r="K43" s="378"/>
      <c r="L43" s="378"/>
    </row>
    <row r="44" spans="2:14" x14ac:dyDescent="0.25">
      <c r="B44" s="110"/>
      <c r="C44" s="100"/>
      <c r="D44" s="3" t="str">
        <f>$D$20</f>
        <v>Usulan Musrenbang</v>
      </c>
      <c r="E44" s="281">
        <f>$E$20</f>
        <v>0.372</v>
      </c>
      <c r="F44" s="102">
        <v>1</v>
      </c>
      <c r="G44" s="376" t="str">
        <f>$G$20</f>
        <v>Kebijakan</v>
      </c>
      <c r="H44" s="378">
        <f>$H$20</f>
        <v>0.152</v>
      </c>
      <c r="I44" s="380">
        <f>((E44*F44)+(E45*F45)+(E46*F46))</f>
        <v>1</v>
      </c>
      <c r="J44" s="380">
        <f>H44*I44</f>
        <v>0.152</v>
      </c>
      <c r="K44" s="378"/>
      <c r="L44" s="378"/>
    </row>
    <row r="45" spans="2:14" x14ac:dyDescent="0.25">
      <c r="B45" s="110"/>
      <c r="C45" s="100"/>
      <c r="D45" s="74" t="str">
        <f>$D$21</f>
        <v>Pengembangan Wilayah</v>
      </c>
      <c r="E45" s="279">
        <f>$E$21</f>
        <v>0.308</v>
      </c>
      <c r="F45" s="272">
        <v>1</v>
      </c>
      <c r="G45" s="376"/>
      <c r="H45" s="378"/>
      <c r="I45" s="380"/>
      <c r="J45" s="380"/>
      <c r="K45" s="378"/>
      <c r="L45" s="378"/>
    </row>
    <row r="46" spans="2:14" x14ac:dyDescent="0.25">
      <c r="B46" s="110"/>
      <c r="C46" s="100"/>
      <c r="D46" s="104" t="str">
        <f>$D$22</f>
        <v>Kebijakan Lain</v>
      </c>
      <c r="E46" s="280">
        <f>$E$22</f>
        <v>0.32</v>
      </c>
      <c r="F46" s="105">
        <v>1</v>
      </c>
      <c r="G46" s="376"/>
      <c r="H46" s="378"/>
      <c r="I46" s="380"/>
      <c r="J46" s="380"/>
      <c r="K46" s="378"/>
      <c r="L46" s="378"/>
    </row>
    <row r="47" spans="2:14" ht="30" x14ac:dyDescent="0.25">
      <c r="B47" s="266"/>
      <c r="C47" s="101"/>
      <c r="D47" s="276" t="str">
        <f>$D$23</f>
        <v>Aksesibilitas</v>
      </c>
      <c r="E47" s="282">
        <f>E35</f>
        <v>1</v>
      </c>
      <c r="F47" s="267">
        <v>0</v>
      </c>
      <c r="G47" s="265" t="str">
        <f>$G$23</f>
        <v>Aksesibilitas</v>
      </c>
      <c r="H47" s="267">
        <f>$H$23</f>
        <v>0.108</v>
      </c>
      <c r="I47" s="268">
        <f>(F47*E47)</f>
        <v>0</v>
      </c>
      <c r="J47" s="268">
        <f>H47*I47</f>
        <v>0</v>
      </c>
      <c r="K47" s="378"/>
      <c r="L47" s="378"/>
    </row>
    <row r="48" spans="2:14" ht="15" customHeight="1" x14ac:dyDescent="0.25">
      <c r="B48" s="109">
        <v>4</v>
      </c>
      <c r="C48" s="390" t="s">
        <v>164</v>
      </c>
      <c r="D48" s="106" t="str">
        <f>$D$12</f>
        <v>Berlubang</v>
      </c>
      <c r="E48" s="278">
        <f>$E$12</f>
        <v>0.28499999999999998</v>
      </c>
      <c r="F48" s="107">
        <v>0</v>
      </c>
      <c r="G48" s="375" t="str">
        <f>$G$12</f>
        <v>Kondisi Jalan</v>
      </c>
      <c r="H48" s="377">
        <f>$H$12</f>
        <v>0.34899999999999998</v>
      </c>
      <c r="I48" s="379">
        <f>((E48*F48)+(E49*F49)+(E50*F50)+(E51*F51))</f>
        <v>0.23899999999999999</v>
      </c>
      <c r="J48" s="379">
        <f>H48*I48</f>
        <v>8.3410999999999985E-2</v>
      </c>
      <c r="K48" s="379">
        <f>J48+J52+J54+J56+J59</f>
        <v>0.64133899999999999</v>
      </c>
      <c r="L48" s="379" t="s">
        <v>250</v>
      </c>
      <c r="N48" t="s">
        <v>250</v>
      </c>
    </row>
    <row r="49" spans="2:12" x14ac:dyDescent="0.25">
      <c r="B49" s="110"/>
      <c r="C49" s="391"/>
      <c r="D49" s="74" t="str">
        <f>$D$13</f>
        <v>Retak</v>
      </c>
      <c r="E49" s="279">
        <f>$E$13</f>
        <v>0.23899999999999999</v>
      </c>
      <c r="F49" s="272">
        <v>1</v>
      </c>
      <c r="G49" s="376"/>
      <c r="H49" s="378"/>
      <c r="I49" s="380"/>
      <c r="J49" s="380"/>
      <c r="K49" s="378"/>
      <c r="L49" s="378"/>
    </row>
    <row r="50" spans="2:12" x14ac:dyDescent="0.25">
      <c r="B50" s="110"/>
      <c r="C50" s="100"/>
      <c r="D50" s="74" t="str">
        <f>$D$14</f>
        <v>Amblas</v>
      </c>
      <c r="E50" s="279">
        <f>$E$14</f>
        <v>0.29699999999999999</v>
      </c>
      <c r="F50" s="272">
        <v>0</v>
      </c>
      <c r="G50" s="376"/>
      <c r="H50" s="378"/>
      <c r="I50" s="380"/>
      <c r="J50" s="380"/>
      <c r="K50" s="378"/>
      <c r="L50" s="378"/>
    </row>
    <row r="51" spans="2:12" x14ac:dyDescent="0.25">
      <c r="B51" s="110"/>
      <c r="C51" s="100"/>
      <c r="D51" s="104" t="str">
        <f>$D$15</f>
        <v>Bahu</v>
      </c>
      <c r="E51" s="280">
        <f>$E$15</f>
        <v>0.17699999999999999</v>
      </c>
      <c r="F51" s="105">
        <v>0</v>
      </c>
      <c r="G51" s="376"/>
      <c r="H51" s="378"/>
      <c r="I51" s="380"/>
      <c r="J51" s="380"/>
      <c r="K51" s="378"/>
      <c r="L51" s="378"/>
    </row>
    <row r="52" spans="2:12" x14ac:dyDescent="0.25">
      <c r="B52" s="110"/>
      <c r="C52" s="100"/>
      <c r="D52" s="3" t="str">
        <f>$D$16</f>
        <v>Jenis Kendaraan Lewat</v>
      </c>
      <c r="E52" s="281">
        <f>$E$16</f>
        <v>0.52800000000000002</v>
      </c>
      <c r="F52" s="102">
        <v>1</v>
      </c>
      <c r="G52" s="376" t="str">
        <f>$G$16</f>
        <v>Volume Lalu Lintas</v>
      </c>
      <c r="H52" s="378">
        <f>$H$16</f>
        <v>0.19600000000000001</v>
      </c>
      <c r="I52" s="380">
        <f>((E52*F52)+(E53*F53))</f>
        <v>0.76400000000000001</v>
      </c>
      <c r="J52" s="380">
        <f>H52*I52</f>
        <v>0.14974400000000002</v>
      </c>
      <c r="K52" s="378"/>
      <c r="L52" s="378"/>
    </row>
    <row r="53" spans="2:12" x14ac:dyDescent="0.25">
      <c r="B53" s="110"/>
      <c r="C53" s="100"/>
      <c r="D53" s="104" t="str">
        <f>$D$17</f>
        <v>Volume Kendaraan</v>
      </c>
      <c r="E53" s="280">
        <f>$E$17</f>
        <v>0.47199999999999998</v>
      </c>
      <c r="F53" s="105">
        <v>0.5</v>
      </c>
      <c r="G53" s="376"/>
      <c r="H53" s="378"/>
      <c r="I53" s="380"/>
      <c r="J53" s="380"/>
      <c r="K53" s="378"/>
      <c r="L53" s="378"/>
    </row>
    <row r="54" spans="2:12" ht="15" customHeight="1" x14ac:dyDescent="0.25">
      <c r="B54" s="110"/>
      <c r="C54" s="100"/>
      <c r="D54" s="3" t="str">
        <f>$D$18</f>
        <v>Dampak Manfaat</v>
      </c>
      <c r="E54" s="281">
        <f>$E$18</f>
        <v>0.49199999999999999</v>
      </c>
      <c r="F54" s="102">
        <v>1</v>
      </c>
      <c r="G54" s="386" t="str">
        <f>$G$18</f>
        <v>Ekonomi</v>
      </c>
      <c r="H54" s="378">
        <f>$H$18</f>
        <v>0.19500000000000001</v>
      </c>
      <c r="I54" s="380">
        <f>((E54*F54)+(E55*F55))</f>
        <v>1</v>
      </c>
      <c r="J54" s="381">
        <f>H54*I54</f>
        <v>0.19500000000000001</v>
      </c>
      <c r="K54" s="378"/>
      <c r="L54" s="378"/>
    </row>
    <row r="55" spans="2:12" x14ac:dyDescent="0.25">
      <c r="B55" s="110"/>
      <c r="C55" s="100"/>
      <c r="D55" s="104" t="str">
        <f>$D$19</f>
        <v>Estimasi Biaya</v>
      </c>
      <c r="E55" s="280">
        <f>$E$19</f>
        <v>0.50800000000000001</v>
      </c>
      <c r="F55" s="105">
        <v>1</v>
      </c>
      <c r="G55" s="375"/>
      <c r="H55" s="378"/>
      <c r="I55" s="380"/>
      <c r="J55" s="379"/>
      <c r="K55" s="378"/>
      <c r="L55" s="378"/>
    </row>
    <row r="56" spans="2:12" x14ac:dyDescent="0.25">
      <c r="B56" s="110"/>
      <c r="C56" s="100"/>
      <c r="D56" s="3" t="str">
        <f>$D$20</f>
        <v>Usulan Musrenbang</v>
      </c>
      <c r="E56" s="281">
        <f>$E$20</f>
        <v>0.372</v>
      </c>
      <c r="F56" s="102">
        <v>1</v>
      </c>
      <c r="G56" s="376" t="str">
        <f>$G$20</f>
        <v>Kebijakan</v>
      </c>
      <c r="H56" s="378">
        <f>$H$20</f>
        <v>0.152</v>
      </c>
      <c r="I56" s="380">
        <f>((E56*F56)+(E57*F57)+(E58*F58))</f>
        <v>0.69199999999999995</v>
      </c>
      <c r="J56" s="380">
        <f>H56*I56</f>
        <v>0.10518399999999999</v>
      </c>
      <c r="K56" s="378"/>
      <c r="L56" s="378"/>
    </row>
    <row r="57" spans="2:12" x14ac:dyDescent="0.25">
      <c r="B57" s="110"/>
      <c r="C57" s="100"/>
      <c r="D57" s="74" t="str">
        <f>$D$21</f>
        <v>Pengembangan Wilayah</v>
      </c>
      <c r="E57" s="279">
        <f>$E$21</f>
        <v>0.308</v>
      </c>
      <c r="F57" s="272">
        <v>0</v>
      </c>
      <c r="G57" s="376"/>
      <c r="H57" s="378"/>
      <c r="I57" s="380"/>
      <c r="J57" s="380"/>
      <c r="K57" s="378"/>
      <c r="L57" s="378"/>
    </row>
    <row r="58" spans="2:12" x14ac:dyDescent="0.25">
      <c r="B58" s="110"/>
      <c r="C58" s="100"/>
      <c r="D58" s="104" t="str">
        <f>$D$22</f>
        <v>Kebijakan Lain</v>
      </c>
      <c r="E58" s="280">
        <f>$E$22</f>
        <v>0.32</v>
      </c>
      <c r="F58" s="105">
        <v>1</v>
      </c>
      <c r="G58" s="376"/>
      <c r="H58" s="378"/>
      <c r="I58" s="380"/>
      <c r="J58" s="380"/>
      <c r="K58" s="378"/>
      <c r="L58" s="378"/>
    </row>
    <row r="59" spans="2:12" ht="30" x14ac:dyDescent="0.25">
      <c r="B59" s="266"/>
      <c r="C59" s="101"/>
      <c r="D59" s="276" t="str">
        <f>$D$23</f>
        <v>Aksesibilitas</v>
      </c>
      <c r="E59" s="282">
        <f>E47</f>
        <v>1</v>
      </c>
      <c r="F59" s="267">
        <v>1</v>
      </c>
      <c r="G59" s="265" t="str">
        <f>$G$23</f>
        <v>Aksesibilitas</v>
      </c>
      <c r="H59" s="267">
        <f>$H$23</f>
        <v>0.108</v>
      </c>
      <c r="I59" s="268">
        <f>(F59*E59)</f>
        <v>1</v>
      </c>
      <c r="J59" s="268">
        <f>H59*I59</f>
        <v>0.108</v>
      </c>
      <c r="K59" s="378"/>
      <c r="L59" s="378"/>
    </row>
    <row r="60" spans="2:12" ht="15" customHeight="1" x14ac:dyDescent="0.25">
      <c r="B60" s="109">
        <v>5</v>
      </c>
      <c r="C60" s="390" t="s">
        <v>165</v>
      </c>
      <c r="D60" s="106" t="str">
        <f>$D$12</f>
        <v>Berlubang</v>
      </c>
      <c r="E60" s="278">
        <f>$E$12</f>
        <v>0.28499999999999998</v>
      </c>
      <c r="F60" s="107">
        <v>0</v>
      </c>
      <c r="G60" s="375" t="str">
        <f>$G$12</f>
        <v>Kondisi Jalan</v>
      </c>
      <c r="H60" s="377">
        <f>$H$12</f>
        <v>0.34899999999999998</v>
      </c>
      <c r="I60" s="379">
        <f>((E60*F60)+(E61*F61)+(E62*F62)+(E63*F63))</f>
        <v>0.17699999999999999</v>
      </c>
      <c r="J60" s="379">
        <f>H60*I60</f>
        <v>6.1772999999999995E-2</v>
      </c>
      <c r="K60" s="379">
        <f>J60+J64+J66+J68+J71</f>
        <v>0.36638500000000002</v>
      </c>
      <c r="L60" s="379" t="s">
        <v>255</v>
      </c>
    </row>
    <row r="61" spans="2:12" x14ac:dyDescent="0.25">
      <c r="B61" s="110"/>
      <c r="C61" s="391"/>
      <c r="D61" s="74" t="str">
        <f>$D$13</f>
        <v>Retak</v>
      </c>
      <c r="E61" s="279">
        <f>$E$13</f>
        <v>0.23899999999999999</v>
      </c>
      <c r="F61" s="272">
        <v>0</v>
      </c>
      <c r="G61" s="376"/>
      <c r="H61" s="378"/>
      <c r="I61" s="380"/>
      <c r="J61" s="380"/>
      <c r="K61" s="378"/>
      <c r="L61" s="378"/>
    </row>
    <row r="62" spans="2:12" x14ac:dyDescent="0.25">
      <c r="B62" s="110"/>
      <c r="C62" s="100"/>
      <c r="D62" s="74" t="str">
        <f>$D$14</f>
        <v>Amblas</v>
      </c>
      <c r="E62" s="279">
        <f>$E$14</f>
        <v>0.29699999999999999</v>
      </c>
      <c r="F62" s="272">
        <v>0</v>
      </c>
      <c r="G62" s="376"/>
      <c r="H62" s="378"/>
      <c r="I62" s="380"/>
      <c r="J62" s="380"/>
      <c r="K62" s="378"/>
      <c r="L62" s="378"/>
    </row>
    <row r="63" spans="2:12" x14ac:dyDescent="0.25">
      <c r="B63" s="110"/>
      <c r="C63" s="100"/>
      <c r="D63" s="104" t="str">
        <f>$D$15</f>
        <v>Bahu</v>
      </c>
      <c r="E63" s="280">
        <f>$E$15</f>
        <v>0.17699999999999999</v>
      </c>
      <c r="F63" s="105">
        <v>1</v>
      </c>
      <c r="G63" s="376"/>
      <c r="H63" s="378"/>
      <c r="I63" s="380"/>
      <c r="J63" s="380"/>
      <c r="K63" s="378"/>
      <c r="L63" s="378"/>
    </row>
    <row r="64" spans="2:12" x14ac:dyDescent="0.25">
      <c r="B64" s="110"/>
      <c r="C64" s="100"/>
      <c r="D64" s="3" t="str">
        <f>$D$16</f>
        <v>Jenis Kendaraan Lewat</v>
      </c>
      <c r="E64" s="281">
        <f>$E$16</f>
        <v>0.52800000000000002</v>
      </c>
      <c r="F64" s="102">
        <v>1</v>
      </c>
      <c r="G64" s="376" t="str">
        <f>$G$16</f>
        <v>Volume Lalu Lintas</v>
      </c>
      <c r="H64" s="378">
        <f>$H$16</f>
        <v>0.19600000000000001</v>
      </c>
      <c r="I64" s="380">
        <f>((E64*F64)+(E65*F65))</f>
        <v>0.52800000000000002</v>
      </c>
      <c r="J64" s="380">
        <f>H64*I64</f>
        <v>0.10348800000000001</v>
      </c>
      <c r="K64" s="378"/>
      <c r="L64" s="378"/>
    </row>
    <row r="65" spans="2:12" x14ac:dyDescent="0.25">
      <c r="B65" s="110"/>
      <c r="C65" s="100"/>
      <c r="D65" s="104" t="str">
        <f>$D$17</f>
        <v>Volume Kendaraan</v>
      </c>
      <c r="E65" s="280">
        <f>$E$17</f>
        <v>0.47199999999999998</v>
      </c>
      <c r="F65" s="105">
        <v>0</v>
      </c>
      <c r="G65" s="376"/>
      <c r="H65" s="378"/>
      <c r="I65" s="380"/>
      <c r="J65" s="380"/>
      <c r="K65" s="378"/>
      <c r="L65" s="378"/>
    </row>
    <row r="66" spans="2:12" ht="15" customHeight="1" x14ac:dyDescent="0.25">
      <c r="B66" s="110"/>
      <c r="C66" s="100"/>
      <c r="D66" s="3" t="str">
        <f>$D$18</f>
        <v>Dampak Manfaat</v>
      </c>
      <c r="E66" s="281">
        <f>$E$18</f>
        <v>0.49199999999999999</v>
      </c>
      <c r="F66" s="102">
        <v>1</v>
      </c>
      <c r="G66" s="386" t="str">
        <f>$G$18</f>
        <v>Ekonomi</v>
      </c>
      <c r="H66" s="378">
        <f>$H$18</f>
        <v>0.19500000000000001</v>
      </c>
      <c r="I66" s="380">
        <f>((E66*F66)+(E67*F67))</f>
        <v>0.49199999999999999</v>
      </c>
      <c r="J66" s="381">
        <f>H66*I66</f>
        <v>9.5939999999999998E-2</v>
      </c>
      <c r="K66" s="378"/>
      <c r="L66" s="378"/>
    </row>
    <row r="67" spans="2:12" x14ac:dyDescent="0.25">
      <c r="B67" s="110"/>
      <c r="C67" s="100"/>
      <c r="D67" s="104" t="str">
        <f>$D$19</f>
        <v>Estimasi Biaya</v>
      </c>
      <c r="E67" s="280">
        <f>$E$19</f>
        <v>0.50800000000000001</v>
      </c>
      <c r="F67" s="105">
        <v>0</v>
      </c>
      <c r="G67" s="375"/>
      <c r="H67" s="378"/>
      <c r="I67" s="380"/>
      <c r="J67" s="379"/>
      <c r="K67" s="378"/>
      <c r="L67" s="378"/>
    </row>
    <row r="68" spans="2:12" x14ac:dyDescent="0.25">
      <c r="B68" s="110"/>
      <c r="C68" s="100"/>
      <c r="D68" s="3" t="str">
        <f>$D$20</f>
        <v>Usulan Musrenbang</v>
      </c>
      <c r="E68" s="281">
        <f>$E$20</f>
        <v>0.372</v>
      </c>
      <c r="F68" s="102">
        <v>1</v>
      </c>
      <c r="G68" s="376" t="str">
        <f>$G$20</f>
        <v>Kebijakan</v>
      </c>
      <c r="H68" s="378">
        <f>$H$20</f>
        <v>0.152</v>
      </c>
      <c r="I68" s="380">
        <f>((E68*F68)+(E69*F69)+(E70*F70))</f>
        <v>0.69199999999999995</v>
      </c>
      <c r="J68" s="380">
        <f>H68*I68</f>
        <v>0.10518399999999999</v>
      </c>
      <c r="K68" s="378"/>
      <c r="L68" s="378"/>
    </row>
    <row r="69" spans="2:12" x14ac:dyDescent="0.25">
      <c r="B69" s="110"/>
      <c r="C69" s="100"/>
      <c r="D69" s="74" t="str">
        <f>$D$21</f>
        <v>Pengembangan Wilayah</v>
      </c>
      <c r="E69" s="279">
        <f>$E$21</f>
        <v>0.308</v>
      </c>
      <c r="F69" s="272">
        <v>0</v>
      </c>
      <c r="G69" s="376"/>
      <c r="H69" s="378"/>
      <c r="I69" s="380"/>
      <c r="J69" s="380"/>
      <c r="K69" s="378"/>
      <c r="L69" s="378"/>
    </row>
    <row r="70" spans="2:12" x14ac:dyDescent="0.25">
      <c r="B70" s="110"/>
      <c r="C70" s="100"/>
      <c r="D70" s="104" t="str">
        <f>$D$22</f>
        <v>Kebijakan Lain</v>
      </c>
      <c r="E70" s="280">
        <f>$E$22</f>
        <v>0.32</v>
      </c>
      <c r="F70" s="105">
        <v>1</v>
      </c>
      <c r="G70" s="376"/>
      <c r="H70" s="378"/>
      <c r="I70" s="380"/>
      <c r="J70" s="380"/>
      <c r="K70" s="378"/>
      <c r="L70" s="378"/>
    </row>
    <row r="71" spans="2:12" ht="30" x14ac:dyDescent="0.25">
      <c r="B71" s="266"/>
      <c r="C71" s="101"/>
      <c r="D71" s="276" t="str">
        <f>$D$23</f>
        <v>Aksesibilitas</v>
      </c>
      <c r="E71" s="282">
        <f>E59</f>
        <v>1</v>
      </c>
      <c r="F71" s="267">
        <v>0</v>
      </c>
      <c r="G71" s="265" t="str">
        <f>$G$23</f>
        <v>Aksesibilitas</v>
      </c>
      <c r="H71" s="267">
        <f>$H$23</f>
        <v>0.108</v>
      </c>
      <c r="I71" s="268">
        <f>(F71*E71)</f>
        <v>0</v>
      </c>
      <c r="J71" s="268">
        <f>H71*I71</f>
        <v>0</v>
      </c>
      <c r="K71" s="378"/>
      <c r="L71" s="378"/>
    </row>
    <row r="72" spans="2:12" ht="15" customHeight="1" x14ac:dyDescent="0.25">
      <c r="B72" s="109">
        <v>6</v>
      </c>
      <c r="C72" s="390" t="s">
        <v>166</v>
      </c>
      <c r="D72" s="106" t="str">
        <f>$D$12</f>
        <v>Berlubang</v>
      </c>
      <c r="E72" s="278">
        <f>$E$12</f>
        <v>0.28499999999999998</v>
      </c>
      <c r="F72" s="107">
        <v>0</v>
      </c>
      <c r="G72" s="375" t="str">
        <f>$G$12</f>
        <v>Kondisi Jalan</v>
      </c>
      <c r="H72" s="377">
        <f>$H$12</f>
        <v>0.34899999999999998</v>
      </c>
      <c r="I72" s="379">
        <f>((E72*F72)+(E73*F73)+(E74*F74)+(E75*F75))</f>
        <v>0.41599999999999998</v>
      </c>
      <c r="J72" s="379">
        <f>H72*I72</f>
        <v>0.14518399999999998</v>
      </c>
      <c r="K72" s="379">
        <f>J72+J76+J78+J80+J83</f>
        <v>0.60405200000000003</v>
      </c>
      <c r="L72" s="379" t="s">
        <v>252</v>
      </c>
    </row>
    <row r="73" spans="2:12" x14ac:dyDescent="0.25">
      <c r="B73" s="110"/>
      <c r="C73" s="391"/>
      <c r="D73" s="74" t="str">
        <f>$D$13</f>
        <v>Retak</v>
      </c>
      <c r="E73" s="279">
        <f>$E$13</f>
        <v>0.23899999999999999</v>
      </c>
      <c r="F73" s="272">
        <v>1</v>
      </c>
      <c r="G73" s="376"/>
      <c r="H73" s="378"/>
      <c r="I73" s="380"/>
      <c r="J73" s="380"/>
      <c r="K73" s="378"/>
      <c r="L73" s="378"/>
    </row>
    <row r="74" spans="2:12" x14ac:dyDescent="0.25">
      <c r="B74" s="110"/>
      <c r="C74" s="100"/>
      <c r="D74" s="74" t="str">
        <f>$D$14</f>
        <v>Amblas</v>
      </c>
      <c r="E74" s="279">
        <f>$E$14</f>
        <v>0.29699999999999999</v>
      </c>
      <c r="F74" s="272">
        <v>0</v>
      </c>
      <c r="G74" s="376"/>
      <c r="H74" s="378"/>
      <c r="I74" s="380"/>
      <c r="J74" s="380"/>
      <c r="K74" s="378"/>
      <c r="L74" s="378"/>
    </row>
    <row r="75" spans="2:12" x14ac:dyDescent="0.25">
      <c r="B75" s="110"/>
      <c r="C75" s="100"/>
      <c r="D75" s="104" t="str">
        <f>$D$15</f>
        <v>Bahu</v>
      </c>
      <c r="E75" s="280">
        <f>$E$15</f>
        <v>0.17699999999999999</v>
      </c>
      <c r="F75" s="105">
        <v>1</v>
      </c>
      <c r="G75" s="376"/>
      <c r="H75" s="378"/>
      <c r="I75" s="380"/>
      <c r="J75" s="380"/>
      <c r="K75" s="378"/>
      <c r="L75" s="378"/>
    </row>
    <row r="76" spans="2:12" x14ac:dyDescent="0.25">
      <c r="B76" s="110"/>
      <c r="C76" s="100"/>
      <c r="D76" s="3" t="str">
        <f>$D$16</f>
        <v>Jenis Kendaraan Lewat</v>
      </c>
      <c r="E76" s="281">
        <f>$E$16</f>
        <v>0.52800000000000002</v>
      </c>
      <c r="F76" s="102">
        <v>1</v>
      </c>
      <c r="G76" s="376" t="str">
        <f>$G$16</f>
        <v>Volume Lalu Lintas</v>
      </c>
      <c r="H76" s="378">
        <f>$H$16</f>
        <v>0.19600000000000001</v>
      </c>
      <c r="I76" s="380">
        <f>((E76*F76)+(E77*F77))</f>
        <v>0.76400000000000001</v>
      </c>
      <c r="J76" s="380">
        <f>H76*I76</f>
        <v>0.14974400000000002</v>
      </c>
      <c r="K76" s="378"/>
      <c r="L76" s="378"/>
    </row>
    <row r="77" spans="2:12" x14ac:dyDescent="0.25">
      <c r="B77" s="110"/>
      <c r="C77" s="100"/>
      <c r="D77" s="104" t="str">
        <f>$D$17</f>
        <v>Volume Kendaraan</v>
      </c>
      <c r="E77" s="280">
        <f>$E$17</f>
        <v>0.47199999999999998</v>
      </c>
      <c r="F77" s="105">
        <v>0.5</v>
      </c>
      <c r="G77" s="376"/>
      <c r="H77" s="378"/>
      <c r="I77" s="380"/>
      <c r="J77" s="380"/>
      <c r="K77" s="378"/>
      <c r="L77" s="378"/>
    </row>
    <row r="78" spans="2:12" ht="15" customHeight="1" x14ac:dyDescent="0.25">
      <c r="B78" s="110"/>
      <c r="C78" s="100"/>
      <c r="D78" s="3" t="str">
        <f>$D$18</f>
        <v>Dampak Manfaat</v>
      </c>
      <c r="E78" s="281">
        <f>$E$18</f>
        <v>0.49199999999999999</v>
      </c>
      <c r="F78" s="102">
        <v>1</v>
      </c>
      <c r="G78" s="386" t="str">
        <f>$G$18</f>
        <v>Ekonomi</v>
      </c>
      <c r="H78" s="378">
        <f>$H$18</f>
        <v>0.19500000000000001</v>
      </c>
      <c r="I78" s="380">
        <f>((E78*F78)+(E79*F79))</f>
        <v>0.49199999999999999</v>
      </c>
      <c r="J78" s="381">
        <f>H78*I78</f>
        <v>9.5939999999999998E-2</v>
      </c>
      <c r="K78" s="378"/>
      <c r="L78" s="378"/>
    </row>
    <row r="79" spans="2:12" x14ac:dyDescent="0.25">
      <c r="B79" s="110"/>
      <c r="C79" s="100"/>
      <c r="D79" s="104" t="str">
        <f>$D$19</f>
        <v>Estimasi Biaya</v>
      </c>
      <c r="E79" s="280">
        <f>$E$19</f>
        <v>0.50800000000000001</v>
      </c>
      <c r="F79" s="105">
        <v>0</v>
      </c>
      <c r="G79" s="375"/>
      <c r="H79" s="378"/>
      <c r="I79" s="380"/>
      <c r="J79" s="379"/>
      <c r="K79" s="378"/>
      <c r="L79" s="378"/>
    </row>
    <row r="80" spans="2:12" x14ac:dyDescent="0.25">
      <c r="B80" s="110"/>
      <c r="C80" s="100"/>
      <c r="D80" s="3" t="str">
        <f>$D$20</f>
        <v>Usulan Musrenbang</v>
      </c>
      <c r="E80" s="281">
        <f>$E$20</f>
        <v>0.372</v>
      </c>
      <c r="F80" s="102">
        <v>1</v>
      </c>
      <c r="G80" s="376" t="str">
        <f>$G$20</f>
        <v>Kebijakan</v>
      </c>
      <c r="H80" s="378">
        <f>$H$20</f>
        <v>0.152</v>
      </c>
      <c r="I80" s="380">
        <f>((E80*F80)+(E81*F81)+(E82*F82))</f>
        <v>0.69199999999999995</v>
      </c>
      <c r="J80" s="380">
        <f>H80*I80</f>
        <v>0.10518399999999999</v>
      </c>
      <c r="K80" s="378"/>
      <c r="L80" s="378"/>
    </row>
    <row r="81" spans="2:12" x14ac:dyDescent="0.25">
      <c r="B81" s="110"/>
      <c r="C81" s="100"/>
      <c r="D81" s="74" t="str">
        <f>$D$21</f>
        <v>Pengembangan Wilayah</v>
      </c>
      <c r="E81" s="279">
        <f>$E$21</f>
        <v>0.308</v>
      </c>
      <c r="F81" s="272">
        <v>0</v>
      </c>
      <c r="G81" s="376"/>
      <c r="H81" s="378"/>
      <c r="I81" s="380"/>
      <c r="J81" s="380"/>
      <c r="K81" s="378"/>
      <c r="L81" s="378"/>
    </row>
    <row r="82" spans="2:12" x14ac:dyDescent="0.25">
      <c r="B82" s="110"/>
      <c r="C82" s="100"/>
      <c r="D82" s="104" t="str">
        <f>$D$22</f>
        <v>Kebijakan Lain</v>
      </c>
      <c r="E82" s="280">
        <f>$E$22</f>
        <v>0.32</v>
      </c>
      <c r="F82" s="105">
        <v>1</v>
      </c>
      <c r="G82" s="376"/>
      <c r="H82" s="378"/>
      <c r="I82" s="380"/>
      <c r="J82" s="380"/>
      <c r="K82" s="378"/>
      <c r="L82" s="378"/>
    </row>
    <row r="83" spans="2:12" ht="30" x14ac:dyDescent="0.25">
      <c r="B83" s="266"/>
      <c r="C83" s="101"/>
      <c r="D83" s="276" t="str">
        <f>$D$23</f>
        <v>Aksesibilitas</v>
      </c>
      <c r="E83" s="282">
        <f>E71</f>
        <v>1</v>
      </c>
      <c r="F83" s="267">
        <v>1</v>
      </c>
      <c r="G83" s="265" t="str">
        <f>$G$23</f>
        <v>Aksesibilitas</v>
      </c>
      <c r="H83" s="267">
        <f>$H$23</f>
        <v>0.108</v>
      </c>
      <c r="I83" s="268">
        <f>(F83*E83)</f>
        <v>1</v>
      </c>
      <c r="J83" s="268">
        <f>H83*I83</f>
        <v>0.108</v>
      </c>
      <c r="K83" s="378"/>
      <c r="L83" s="378"/>
    </row>
    <row r="105" spans="5:5" x14ac:dyDescent="0.25">
      <c r="E105">
        <f>(0.329*(0.417))+(0.164*(1))+(0.152*(1))+(0.144*(0))+(0.134*(1))+(0.077*(1))</f>
        <v>0.66419300000000003</v>
      </c>
    </row>
  </sheetData>
  <mergeCells count="122">
    <mergeCell ref="L12:L23"/>
    <mergeCell ref="L24:L35"/>
    <mergeCell ref="L36:L47"/>
    <mergeCell ref="L48:L59"/>
    <mergeCell ref="L60:L71"/>
    <mergeCell ref="L72:L83"/>
    <mergeCell ref="L9:L11"/>
    <mergeCell ref="C72:C73"/>
    <mergeCell ref="G72:G75"/>
    <mergeCell ref="H72:H75"/>
    <mergeCell ref="I72:I75"/>
    <mergeCell ref="J72:J75"/>
    <mergeCell ref="K72:K83"/>
    <mergeCell ref="G76:G77"/>
    <mergeCell ref="H76:H77"/>
    <mergeCell ref="I76:I77"/>
    <mergeCell ref="J76:J77"/>
    <mergeCell ref="G78:G79"/>
    <mergeCell ref="H78:H79"/>
    <mergeCell ref="I78:I79"/>
    <mergeCell ref="J78:J79"/>
    <mergeCell ref="G80:G82"/>
    <mergeCell ref="H80:H82"/>
    <mergeCell ref="I80:I82"/>
    <mergeCell ref="J80:J82"/>
    <mergeCell ref="C60:C61"/>
    <mergeCell ref="G60:G63"/>
    <mergeCell ref="H60:H63"/>
    <mergeCell ref="I60:I63"/>
    <mergeCell ref="J60:J63"/>
    <mergeCell ref="K60:K71"/>
    <mergeCell ref="G64:G65"/>
    <mergeCell ref="H64:H65"/>
    <mergeCell ref="I64:I65"/>
    <mergeCell ref="J64:J65"/>
    <mergeCell ref="G66:G67"/>
    <mergeCell ref="H66:H67"/>
    <mergeCell ref="I66:I67"/>
    <mergeCell ref="J66:J67"/>
    <mergeCell ref="G68:G70"/>
    <mergeCell ref="H68:H70"/>
    <mergeCell ref="I68:I70"/>
    <mergeCell ref="J68:J70"/>
    <mergeCell ref="C36:C37"/>
    <mergeCell ref="C48:C49"/>
    <mergeCell ref="G48:G51"/>
    <mergeCell ref="H48:H51"/>
    <mergeCell ref="I48:I51"/>
    <mergeCell ref="J48:J51"/>
    <mergeCell ref="K48:K59"/>
    <mergeCell ref="G52:G53"/>
    <mergeCell ref="H52:H53"/>
    <mergeCell ref="I52:I53"/>
    <mergeCell ref="J52:J53"/>
    <mergeCell ref="G54:G55"/>
    <mergeCell ref="H54:H55"/>
    <mergeCell ref="I54:I55"/>
    <mergeCell ref="J54:J55"/>
    <mergeCell ref="G56:G58"/>
    <mergeCell ref="H56:H58"/>
    <mergeCell ref="I56:I58"/>
    <mergeCell ref="J56:J58"/>
    <mergeCell ref="G36:G39"/>
    <mergeCell ref="H36:H39"/>
    <mergeCell ref="I36:I39"/>
    <mergeCell ref="J36:J39"/>
    <mergeCell ref="K36:K47"/>
    <mergeCell ref="G40:G41"/>
    <mergeCell ref="H40:H41"/>
    <mergeCell ref="I40:I41"/>
    <mergeCell ref="J40:J41"/>
    <mergeCell ref="G42:G43"/>
    <mergeCell ref="H42:H43"/>
    <mergeCell ref="I42:I43"/>
    <mergeCell ref="J42:J43"/>
    <mergeCell ref="G44:G46"/>
    <mergeCell ref="H44:H46"/>
    <mergeCell ref="I44:I46"/>
    <mergeCell ref="J44:J46"/>
    <mergeCell ref="C2:K2"/>
    <mergeCell ref="C3:K3"/>
    <mergeCell ref="C4:K4"/>
    <mergeCell ref="B7:K7"/>
    <mergeCell ref="K24:K35"/>
    <mergeCell ref="G28:G29"/>
    <mergeCell ref="H28:H29"/>
    <mergeCell ref="J28:J29"/>
    <mergeCell ref="G30:G31"/>
    <mergeCell ref="H30:H31"/>
    <mergeCell ref="J30:J31"/>
    <mergeCell ref="G32:G34"/>
    <mergeCell ref="H32:H34"/>
    <mergeCell ref="J32:J34"/>
    <mergeCell ref="I24:I27"/>
    <mergeCell ref="I28:I29"/>
    <mergeCell ref="I30:I31"/>
    <mergeCell ref="I32:I34"/>
    <mergeCell ref="C9:C11"/>
    <mergeCell ref="B9:B11"/>
    <mergeCell ref="G24:G27"/>
    <mergeCell ref="H24:H27"/>
    <mergeCell ref="J16:J17"/>
    <mergeCell ref="G20:G22"/>
    <mergeCell ref="H20:H22"/>
    <mergeCell ref="J20:J22"/>
    <mergeCell ref="J24:J27"/>
    <mergeCell ref="I12:I15"/>
    <mergeCell ref="I16:I17"/>
    <mergeCell ref="I18:I19"/>
    <mergeCell ref="I20:I22"/>
    <mergeCell ref="K9:K10"/>
    <mergeCell ref="K12:K23"/>
    <mergeCell ref="G9:J9"/>
    <mergeCell ref="D9:F9"/>
    <mergeCell ref="G12:G15"/>
    <mergeCell ref="H12:H15"/>
    <mergeCell ref="J12:J15"/>
    <mergeCell ref="G18:G19"/>
    <mergeCell ref="H18:H19"/>
    <mergeCell ref="J18:J19"/>
    <mergeCell ref="G16:G17"/>
    <mergeCell ref="H16:H17"/>
  </mergeCells>
  <printOptions horizontalCentered="1"/>
  <pageMargins left="0.51181102362204722" right="0.11811023622047245" top="0.55118110236220474" bottom="0.35433070866141736" header="0.31496062992125984" footer="0.31496062992125984"/>
  <pageSetup paperSize="9" scale="80" orientation="portrait" horizontalDpi="4294967293" verticalDpi="0" r:id="rId1"/>
  <rowBreaks count="1" manualBreakCount="1">
    <brk id="59" max="1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Q97"/>
  <sheetViews>
    <sheetView view="pageBreakPreview" topLeftCell="D49" zoomScale="70" zoomScaleNormal="85" zoomScaleSheetLayoutView="70" zoomScalePageLayoutView="85" workbookViewId="0">
      <selection activeCell="AE94" sqref="AE94"/>
    </sheetView>
  </sheetViews>
  <sheetFormatPr defaultRowHeight="15" x14ac:dyDescent="0.25"/>
  <cols>
    <col min="1" max="1" width="4.7109375" customWidth="1"/>
    <col min="2" max="2" width="4.5703125" customWidth="1"/>
    <col min="3" max="3" width="29.5703125" customWidth="1"/>
    <col min="4" max="4" width="9" customWidth="1"/>
    <col min="5" max="5" width="5.42578125" customWidth="1"/>
    <col min="6" max="19" width="4.7109375" customWidth="1"/>
    <col min="21" max="21" width="4.7109375" customWidth="1"/>
    <col min="22" max="22" width="5.7109375" customWidth="1"/>
    <col min="30" max="30" width="3.5703125" customWidth="1"/>
    <col min="32" max="32" width="3.5703125" customWidth="1"/>
    <col min="34" max="34" width="3.5703125" customWidth="1"/>
    <col min="36" max="36" width="3.5703125" style="1" customWidth="1"/>
    <col min="39" max="39" width="5.7109375" customWidth="1"/>
  </cols>
  <sheetData>
    <row r="1" spans="2:43" x14ac:dyDescent="0.25">
      <c r="B1" s="404" t="s">
        <v>62</v>
      </c>
      <c r="C1" s="404"/>
      <c r="D1" s="404"/>
      <c r="E1" s="404"/>
      <c r="F1" s="404"/>
      <c r="G1" s="404"/>
      <c r="H1" s="404"/>
      <c r="I1" s="404"/>
      <c r="J1" s="404"/>
      <c r="K1" s="404"/>
      <c r="L1" s="404"/>
      <c r="M1" s="404"/>
      <c r="N1" s="404"/>
      <c r="O1" s="404"/>
      <c r="P1" s="404"/>
      <c r="Q1" s="404"/>
      <c r="R1" s="404"/>
      <c r="S1" s="404"/>
      <c r="T1" s="404"/>
      <c r="W1" s="404" t="s">
        <v>62</v>
      </c>
      <c r="X1" s="404"/>
      <c r="Y1" s="404"/>
      <c r="Z1" s="404"/>
      <c r="AA1" s="404"/>
      <c r="AB1" s="404"/>
      <c r="AC1" s="404"/>
      <c r="AD1" s="404"/>
      <c r="AE1" s="404"/>
      <c r="AF1" s="404"/>
      <c r="AG1" s="404"/>
      <c r="AH1" s="404"/>
      <c r="AI1" s="404"/>
      <c r="AJ1" s="404"/>
      <c r="AK1" s="404"/>
      <c r="AL1" s="404"/>
      <c r="AM1" s="63"/>
      <c r="AN1" s="63"/>
      <c r="AO1" s="63"/>
      <c r="AP1" s="63"/>
    </row>
    <row r="2" spans="2:43" ht="15" customHeight="1" x14ac:dyDescent="0.25">
      <c r="B2" s="405" t="s">
        <v>63</v>
      </c>
      <c r="C2" s="405"/>
      <c r="D2" s="405"/>
      <c r="E2" s="405"/>
      <c r="F2" s="405"/>
      <c r="G2" s="405"/>
      <c r="H2" s="405"/>
      <c r="I2" s="405"/>
      <c r="J2" s="405"/>
      <c r="K2" s="405"/>
      <c r="L2" s="405"/>
      <c r="M2" s="405"/>
      <c r="N2" s="405"/>
      <c r="O2" s="405"/>
      <c r="P2" s="405"/>
      <c r="Q2" s="405"/>
      <c r="R2" s="405"/>
      <c r="S2" s="405"/>
      <c r="T2" s="405"/>
      <c r="W2" s="405" t="s">
        <v>63</v>
      </c>
      <c r="X2" s="405"/>
      <c r="Y2" s="405"/>
      <c r="Z2" s="405"/>
      <c r="AA2" s="405"/>
      <c r="AB2" s="405"/>
      <c r="AC2" s="405"/>
      <c r="AD2" s="405"/>
      <c r="AE2" s="405"/>
      <c r="AF2" s="405"/>
      <c r="AG2" s="405"/>
      <c r="AH2" s="405"/>
      <c r="AI2" s="405"/>
      <c r="AJ2" s="405"/>
      <c r="AK2" s="405"/>
      <c r="AL2" s="405"/>
      <c r="AM2" s="64"/>
      <c r="AN2" s="64"/>
      <c r="AO2" s="64"/>
      <c r="AP2" s="64"/>
    </row>
    <row r="3" spans="2:43" ht="15.75" thickBot="1" x14ac:dyDescent="0.3">
      <c r="B3" s="406" t="s">
        <v>64</v>
      </c>
      <c r="C3" s="406"/>
      <c r="D3" s="406"/>
      <c r="E3" s="406"/>
      <c r="F3" s="406"/>
      <c r="G3" s="406"/>
      <c r="H3" s="406"/>
      <c r="I3" s="406"/>
      <c r="J3" s="406"/>
      <c r="K3" s="406"/>
      <c r="L3" s="406"/>
      <c r="M3" s="406"/>
      <c r="N3" s="406"/>
      <c r="O3" s="406"/>
      <c r="P3" s="406"/>
      <c r="Q3" s="406"/>
      <c r="R3" s="406"/>
      <c r="S3" s="406"/>
      <c r="T3" s="406"/>
      <c r="W3" s="406" t="s">
        <v>64</v>
      </c>
      <c r="X3" s="406"/>
      <c r="Y3" s="406"/>
      <c r="Z3" s="406"/>
      <c r="AA3" s="406"/>
      <c r="AB3" s="406"/>
      <c r="AC3" s="406"/>
      <c r="AD3" s="406"/>
      <c r="AE3" s="406"/>
      <c r="AF3" s="406"/>
      <c r="AG3" s="406"/>
      <c r="AH3" s="406"/>
      <c r="AI3" s="406"/>
      <c r="AJ3" s="406"/>
      <c r="AK3" s="406"/>
      <c r="AL3" s="406"/>
      <c r="AM3" s="65"/>
      <c r="AN3" s="65"/>
      <c r="AO3" s="65"/>
      <c r="AP3" s="65"/>
    </row>
    <row r="4" spans="2:43" ht="19.5" thickTop="1" x14ac:dyDescent="0.3">
      <c r="B4" s="407" t="s">
        <v>0</v>
      </c>
      <c r="C4" s="407"/>
      <c r="D4" s="407"/>
      <c r="E4" s="407"/>
      <c r="F4" s="407"/>
      <c r="G4" s="407"/>
      <c r="H4" s="407"/>
      <c r="I4" s="407"/>
      <c r="J4" s="407"/>
      <c r="K4" s="407"/>
      <c r="L4" s="407"/>
      <c r="M4" s="407"/>
      <c r="N4" s="407"/>
      <c r="O4" s="407"/>
      <c r="P4" s="407"/>
      <c r="Q4" s="407"/>
      <c r="R4" s="407"/>
      <c r="S4" s="407"/>
      <c r="T4" s="407"/>
      <c r="AM4" s="65"/>
      <c r="AN4" s="65"/>
      <c r="AO4" s="65"/>
      <c r="AP4" s="65"/>
    </row>
    <row r="5" spans="2:43" ht="15.75" thickBot="1" x14ac:dyDescent="0.3">
      <c r="W5" s="28" t="s">
        <v>27</v>
      </c>
      <c r="Z5" s="28" t="s">
        <v>51</v>
      </c>
      <c r="AL5" s="66"/>
      <c r="AM5" s="65"/>
      <c r="AN5" s="65"/>
      <c r="AO5" s="65"/>
      <c r="AP5" s="65"/>
      <c r="AQ5" s="66"/>
    </row>
    <row r="6" spans="2:43" ht="15.75" thickTop="1" x14ac:dyDescent="0.25">
      <c r="B6" s="397" t="s">
        <v>6</v>
      </c>
      <c r="C6" s="398"/>
      <c r="D6" s="399"/>
      <c r="E6" s="403" t="s">
        <v>7</v>
      </c>
      <c r="F6" s="403"/>
      <c r="G6" s="403"/>
      <c r="H6" s="403"/>
      <c r="I6" s="403"/>
      <c r="J6" s="403"/>
      <c r="K6" s="403"/>
      <c r="L6" s="403"/>
      <c r="M6" s="403"/>
      <c r="N6" s="403"/>
      <c r="O6" s="403"/>
      <c r="P6" s="403"/>
      <c r="Q6" s="403"/>
      <c r="R6" s="403"/>
      <c r="S6" s="403"/>
      <c r="T6" s="395" t="s">
        <v>15</v>
      </c>
      <c r="AL6" s="66"/>
      <c r="AM6" s="66"/>
      <c r="AN6" s="66"/>
      <c r="AO6" s="66"/>
      <c r="AP6" s="66"/>
      <c r="AQ6" s="66"/>
    </row>
    <row r="7" spans="2:43" x14ac:dyDescent="0.25">
      <c r="B7" s="400"/>
      <c r="C7" s="401"/>
      <c r="D7" s="402"/>
      <c r="E7" s="2">
        <v>1</v>
      </c>
      <c r="F7" s="2">
        <v>2</v>
      </c>
      <c r="G7" s="2">
        <v>3</v>
      </c>
      <c r="H7" s="2">
        <v>4</v>
      </c>
      <c r="I7" s="2">
        <v>5</v>
      </c>
      <c r="J7" s="2">
        <v>6</v>
      </c>
      <c r="K7" s="2">
        <v>7</v>
      </c>
      <c r="L7" s="2">
        <v>8</v>
      </c>
      <c r="M7" s="2">
        <v>9</v>
      </c>
      <c r="N7" s="2">
        <v>10</v>
      </c>
      <c r="O7" s="2">
        <v>11</v>
      </c>
      <c r="P7" s="2">
        <v>12</v>
      </c>
      <c r="Q7" s="2">
        <v>13</v>
      </c>
      <c r="R7" s="2">
        <v>14</v>
      </c>
      <c r="S7" s="2">
        <v>15</v>
      </c>
      <c r="T7" s="396"/>
      <c r="X7" s="58"/>
      <c r="Y7" s="59" t="str">
        <f>X8</f>
        <v>Ko</v>
      </c>
      <c r="Z7" s="59" t="str">
        <f>X9</f>
        <v>V</v>
      </c>
      <c r="AA7" s="59" t="str">
        <f>X10</f>
        <v>E</v>
      </c>
      <c r="AB7" s="59" t="str">
        <f>X11</f>
        <v>Ke</v>
      </c>
      <c r="AL7" s="66"/>
      <c r="AM7" s="66"/>
      <c r="AN7" s="66"/>
      <c r="AO7" s="66"/>
      <c r="AP7" s="66"/>
      <c r="AQ7" s="66"/>
    </row>
    <row r="8" spans="2:43" x14ac:dyDescent="0.25">
      <c r="B8" s="13" t="s">
        <v>25</v>
      </c>
      <c r="C8" s="14"/>
      <c r="D8" s="15"/>
      <c r="E8" s="3"/>
      <c r="F8" s="3"/>
      <c r="G8" s="3"/>
      <c r="H8" s="3"/>
      <c r="I8" s="3"/>
      <c r="J8" s="3"/>
      <c r="K8" s="3"/>
      <c r="L8" s="3"/>
      <c r="M8" s="3"/>
      <c r="N8" s="3"/>
      <c r="O8" s="3"/>
      <c r="P8" s="3"/>
      <c r="Q8" s="3"/>
      <c r="R8" s="3"/>
      <c r="S8" s="3"/>
      <c r="T8" s="4"/>
      <c r="X8" s="59" t="s">
        <v>33</v>
      </c>
      <c r="Y8" s="60" t="s">
        <v>35</v>
      </c>
      <c r="Z8" s="61">
        <f>T22</f>
        <v>1.1499999999999999</v>
      </c>
      <c r="AA8" s="62">
        <f>T26</f>
        <v>2.5</v>
      </c>
      <c r="AB8" s="62">
        <f>T27</f>
        <v>0.5</v>
      </c>
    </row>
    <row r="9" spans="2:43" x14ac:dyDescent="0.25">
      <c r="B9" s="5"/>
      <c r="C9" s="11" t="s">
        <v>17</v>
      </c>
      <c r="D9" s="16" t="s">
        <v>31</v>
      </c>
      <c r="E9" s="17" t="s">
        <v>22</v>
      </c>
      <c r="F9" s="17" t="s">
        <v>22</v>
      </c>
      <c r="G9" s="17" t="s">
        <v>22</v>
      </c>
      <c r="H9" s="17" t="s">
        <v>22</v>
      </c>
      <c r="I9" s="17" t="s">
        <v>22</v>
      </c>
      <c r="J9" s="17" t="s">
        <v>22</v>
      </c>
      <c r="K9" s="17" t="s">
        <v>22</v>
      </c>
      <c r="L9" s="17" t="s">
        <v>22</v>
      </c>
      <c r="M9" s="17" t="s">
        <v>22</v>
      </c>
      <c r="N9" s="18" t="s">
        <v>23</v>
      </c>
      <c r="O9" s="18" t="s">
        <v>23</v>
      </c>
      <c r="P9" s="18" t="s">
        <v>23</v>
      </c>
      <c r="Q9" s="18" t="s">
        <v>23</v>
      </c>
      <c r="R9" s="18" t="s">
        <v>23</v>
      </c>
      <c r="S9" s="18" t="s">
        <v>23</v>
      </c>
      <c r="T9" s="9"/>
      <c r="X9" s="59" t="s">
        <v>29</v>
      </c>
      <c r="Y9" s="61">
        <f>Z8</f>
        <v>1.1499999999999999</v>
      </c>
      <c r="Z9" s="60" t="s">
        <v>35</v>
      </c>
      <c r="AA9" s="61">
        <f>T23</f>
        <v>1</v>
      </c>
      <c r="AB9" s="61">
        <f>T25</f>
        <v>1.333333333333333</v>
      </c>
    </row>
    <row r="10" spans="2:43" x14ac:dyDescent="0.25">
      <c r="B10" s="5"/>
      <c r="C10" s="11" t="s">
        <v>18</v>
      </c>
      <c r="D10" s="16" t="s">
        <v>21</v>
      </c>
      <c r="E10" s="18" t="s">
        <v>23</v>
      </c>
      <c r="F10" s="18" t="s">
        <v>23</v>
      </c>
      <c r="G10" s="18" t="s">
        <v>23</v>
      </c>
      <c r="H10" s="18" t="s">
        <v>23</v>
      </c>
      <c r="I10" s="18" t="s">
        <v>23</v>
      </c>
      <c r="J10" s="18" t="s">
        <v>23</v>
      </c>
      <c r="K10" s="18" t="s">
        <v>23</v>
      </c>
      <c r="L10" s="18" t="s">
        <v>23</v>
      </c>
      <c r="M10" s="18" t="s">
        <v>23</v>
      </c>
      <c r="N10" s="18" t="s">
        <v>23</v>
      </c>
      <c r="O10" s="18" t="s">
        <v>23</v>
      </c>
      <c r="P10" s="18" t="s">
        <v>23</v>
      </c>
      <c r="Q10" s="18" t="s">
        <v>23</v>
      </c>
      <c r="R10" s="18" t="s">
        <v>23</v>
      </c>
      <c r="S10" s="18" t="s">
        <v>23</v>
      </c>
      <c r="T10" s="9"/>
      <c r="X10" s="59" t="s">
        <v>28</v>
      </c>
      <c r="Y10" s="62">
        <f>T26</f>
        <v>2.5</v>
      </c>
      <c r="Z10" s="61">
        <f>AA9</f>
        <v>1</v>
      </c>
      <c r="AA10" s="60" t="s">
        <v>35</v>
      </c>
      <c r="AB10" s="61">
        <f>T24</f>
        <v>0.5</v>
      </c>
    </row>
    <row r="11" spans="2:43" x14ac:dyDescent="0.25">
      <c r="B11" s="5"/>
      <c r="C11" s="11" t="s">
        <v>19</v>
      </c>
      <c r="D11" s="16" t="s">
        <v>32</v>
      </c>
      <c r="E11" s="18" t="s">
        <v>24</v>
      </c>
      <c r="F11" s="18" t="s">
        <v>24</v>
      </c>
      <c r="G11" s="18" t="s">
        <v>24</v>
      </c>
      <c r="H11" s="18" t="s">
        <v>24</v>
      </c>
      <c r="I11" s="18" t="s">
        <v>24</v>
      </c>
      <c r="J11" s="18" t="s">
        <v>24</v>
      </c>
      <c r="K11" s="18" t="s">
        <v>24</v>
      </c>
      <c r="L11" s="18" t="s">
        <v>24</v>
      </c>
      <c r="M11" s="18" t="s">
        <v>24</v>
      </c>
      <c r="N11" s="18" t="s">
        <v>24</v>
      </c>
      <c r="O11" s="18" t="s">
        <v>24</v>
      </c>
      <c r="P11" s="18" t="s">
        <v>24</v>
      </c>
      <c r="Q11" s="18" t="s">
        <v>24</v>
      </c>
      <c r="R11" s="18" t="s">
        <v>24</v>
      </c>
      <c r="S11" s="18" t="s">
        <v>24</v>
      </c>
      <c r="T11" s="9"/>
      <c r="X11" s="59" t="s">
        <v>34</v>
      </c>
      <c r="Y11" s="62">
        <f>T27</f>
        <v>0.5</v>
      </c>
      <c r="Z11" s="61">
        <f>AB9</f>
        <v>1.333333333333333</v>
      </c>
      <c r="AA11" s="61">
        <f>AB10</f>
        <v>0.5</v>
      </c>
      <c r="AB11" s="60" t="s">
        <v>35</v>
      </c>
    </row>
    <row r="12" spans="2:43" x14ac:dyDescent="0.25">
      <c r="B12" s="5"/>
      <c r="C12" s="11" t="s">
        <v>20</v>
      </c>
      <c r="D12" s="16" t="s">
        <v>30</v>
      </c>
      <c r="E12" s="18" t="s">
        <v>59</v>
      </c>
      <c r="F12" s="18" t="s">
        <v>59</v>
      </c>
      <c r="G12" s="18" t="s">
        <v>59</v>
      </c>
      <c r="H12" s="18" t="s">
        <v>59</v>
      </c>
      <c r="I12" s="18" t="s">
        <v>59</v>
      </c>
      <c r="J12" s="18" t="s">
        <v>59</v>
      </c>
      <c r="K12" s="18" t="s">
        <v>59</v>
      </c>
      <c r="L12" s="18" t="s">
        <v>59</v>
      </c>
      <c r="M12" s="18" t="s">
        <v>59</v>
      </c>
      <c r="N12" s="18" t="s">
        <v>59</v>
      </c>
      <c r="O12" s="18" t="s">
        <v>59</v>
      </c>
      <c r="P12" s="18" t="s">
        <v>59</v>
      </c>
      <c r="Q12" s="18" t="s">
        <v>59</v>
      </c>
      <c r="R12" s="18" t="s">
        <v>59</v>
      </c>
      <c r="S12" s="18" t="s">
        <v>59</v>
      </c>
      <c r="T12" s="9"/>
    </row>
    <row r="13" spans="2:43" x14ac:dyDescent="0.25">
      <c r="B13" s="22"/>
      <c r="C13" s="23" t="s">
        <v>36</v>
      </c>
      <c r="D13" s="24" t="s">
        <v>37</v>
      </c>
      <c r="E13" s="27" t="s">
        <v>39</v>
      </c>
      <c r="F13" s="27" t="s">
        <v>39</v>
      </c>
      <c r="G13" s="27" t="s">
        <v>39</v>
      </c>
      <c r="H13" s="27" t="s">
        <v>39</v>
      </c>
      <c r="I13" s="27" t="s">
        <v>39</v>
      </c>
      <c r="J13" s="27" t="s">
        <v>39</v>
      </c>
      <c r="K13" s="27" t="s">
        <v>39</v>
      </c>
      <c r="L13" s="27" t="s">
        <v>39</v>
      </c>
      <c r="M13" s="27" t="s">
        <v>39</v>
      </c>
      <c r="N13" s="27" t="s">
        <v>39</v>
      </c>
      <c r="O13" s="27" t="s">
        <v>39</v>
      </c>
      <c r="P13" s="27" t="s">
        <v>39</v>
      </c>
      <c r="Q13" s="27" t="s">
        <v>39</v>
      </c>
      <c r="R13" s="27" t="s">
        <v>39</v>
      </c>
      <c r="S13" s="27" t="s">
        <v>39</v>
      </c>
      <c r="T13" s="25"/>
    </row>
    <row r="14" spans="2:43" x14ac:dyDescent="0.25">
      <c r="B14" s="22"/>
      <c r="C14" s="23" t="s">
        <v>56</v>
      </c>
      <c r="D14" s="24" t="s">
        <v>38</v>
      </c>
      <c r="E14" s="27" t="s">
        <v>60</v>
      </c>
      <c r="F14" s="27" t="s">
        <v>60</v>
      </c>
      <c r="G14" s="27" t="s">
        <v>60</v>
      </c>
      <c r="H14" s="27" t="s">
        <v>60</v>
      </c>
      <c r="I14" s="27" t="s">
        <v>60</v>
      </c>
      <c r="J14" s="27" t="s">
        <v>60</v>
      </c>
      <c r="K14" s="27" t="s">
        <v>60</v>
      </c>
      <c r="L14" s="27" t="s">
        <v>60</v>
      </c>
      <c r="M14" s="27" t="s">
        <v>60</v>
      </c>
      <c r="N14" s="27" t="s">
        <v>60</v>
      </c>
      <c r="O14" s="27" t="s">
        <v>60</v>
      </c>
      <c r="P14" s="27" t="s">
        <v>60</v>
      </c>
      <c r="Q14" s="27" t="s">
        <v>60</v>
      </c>
      <c r="R14" s="27" t="s">
        <v>60</v>
      </c>
      <c r="S14" s="27" t="s">
        <v>60</v>
      </c>
      <c r="T14" s="25"/>
      <c r="W14" s="70" t="s">
        <v>40</v>
      </c>
      <c r="AC14" s="28" t="s">
        <v>41</v>
      </c>
    </row>
    <row r="15" spans="2:43" ht="15.75" thickBot="1" x14ac:dyDescent="0.3">
      <c r="B15" s="6"/>
      <c r="C15" s="12"/>
      <c r="D15" s="7"/>
      <c r="E15" s="8"/>
      <c r="F15" s="8"/>
      <c r="G15" s="8"/>
      <c r="H15" s="8"/>
      <c r="I15" s="8"/>
      <c r="J15" s="8"/>
      <c r="K15" s="8"/>
      <c r="L15" s="8"/>
      <c r="M15" s="8"/>
      <c r="N15" s="8"/>
      <c r="O15" s="8"/>
      <c r="P15" s="8"/>
      <c r="Q15" s="8"/>
      <c r="R15" s="8"/>
      <c r="S15" s="8"/>
      <c r="T15" s="10"/>
    </row>
    <row r="16" spans="2:43" ht="15.75" thickTop="1" x14ac:dyDescent="0.25">
      <c r="X16" s="29"/>
      <c r="Y16" s="1" t="str">
        <f>$Y$7</f>
        <v>Ko</v>
      </c>
      <c r="Z16" s="1" t="str">
        <f>$Z$7</f>
        <v>V</v>
      </c>
      <c r="AA16" s="1" t="str">
        <f>$AA$7</f>
        <v>E</v>
      </c>
      <c r="AB16" s="1" t="str">
        <f>$AB$7</f>
        <v>Ke</v>
      </c>
    </row>
    <row r="17" spans="2:30" x14ac:dyDescent="0.25">
      <c r="X17" s="1" t="str">
        <f>$X$8</f>
        <v>Ko</v>
      </c>
      <c r="Y17" s="43">
        <v>1</v>
      </c>
      <c r="Z17" s="21">
        <f>Z8</f>
        <v>1.1499999999999999</v>
      </c>
      <c r="AA17" s="21">
        <f>AA8</f>
        <v>2.5</v>
      </c>
      <c r="AB17" s="32">
        <f>AB8</f>
        <v>0.5</v>
      </c>
    </row>
    <row r="18" spans="2:30" ht="15.75" thickBot="1" x14ac:dyDescent="0.3">
      <c r="B18" t="s">
        <v>61</v>
      </c>
      <c r="X18" s="1" t="str">
        <f>$X$9</f>
        <v>V</v>
      </c>
      <c r="Y18" s="30">
        <f>Y9</f>
        <v>1.1499999999999999</v>
      </c>
      <c r="Z18" s="44">
        <v>1</v>
      </c>
      <c r="AA18" s="21">
        <f>AA9</f>
        <v>1</v>
      </c>
      <c r="AB18" s="33">
        <f>AB9</f>
        <v>1.333333333333333</v>
      </c>
    </row>
    <row r="19" spans="2:30" ht="15.75" thickTop="1" x14ac:dyDescent="0.25">
      <c r="B19" s="397" t="s">
        <v>6</v>
      </c>
      <c r="C19" s="398"/>
      <c r="D19" s="399"/>
      <c r="E19" s="403" t="s">
        <v>7</v>
      </c>
      <c r="F19" s="403"/>
      <c r="G19" s="403"/>
      <c r="H19" s="403"/>
      <c r="I19" s="403"/>
      <c r="J19" s="403"/>
      <c r="K19" s="403"/>
      <c r="L19" s="403"/>
      <c r="M19" s="403"/>
      <c r="N19" s="403"/>
      <c r="O19" s="403"/>
      <c r="P19" s="403"/>
      <c r="Q19" s="403"/>
      <c r="R19" s="403"/>
      <c r="S19" s="403"/>
      <c r="T19" s="395" t="s">
        <v>16</v>
      </c>
      <c r="X19" s="1" t="str">
        <f>$X$10</f>
        <v>E</v>
      </c>
      <c r="Y19" s="30">
        <f>Y10</f>
        <v>2.5</v>
      </c>
      <c r="Z19" s="21">
        <f>Z10</f>
        <v>1</v>
      </c>
      <c r="AA19" s="44">
        <v>1</v>
      </c>
      <c r="AB19" s="33">
        <f>AB10</f>
        <v>0.5</v>
      </c>
    </row>
    <row r="20" spans="2:30" x14ac:dyDescent="0.25">
      <c r="B20" s="400"/>
      <c r="C20" s="401"/>
      <c r="D20" s="402"/>
      <c r="E20" s="2">
        <v>1</v>
      </c>
      <c r="F20" s="2">
        <v>2</v>
      </c>
      <c r="G20" s="2">
        <v>3</v>
      </c>
      <c r="H20" s="2">
        <v>4</v>
      </c>
      <c r="I20" s="2">
        <v>5</v>
      </c>
      <c r="J20" s="2">
        <v>6</v>
      </c>
      <c r="K20" s="2">
        <v>7</v>
      </c>
      <c r="L20" s="2">
        <v>8</v>
      </c>
      <c r="M20" s="2">
        <v>9</v>
      </c>
      <c r="N20" s="2">
        <v>10</v>
      </c>
      <c r="O20" s="2">
        <v>11</v>
      </c>
      <c r="P20" s="2">
        <v>12</v>
      </c>
      <c r="Q20" s="2">
        <v>13</v>
      </c>
      <c r="R20" s="2">
        <v>14</v>
      </c>
      <c r="S20" s="2">
        <v>15</v>
      </c>
      <c r="T20" s="396"/>
      <c r="X20" s="1" t="str">
        <f>$X$11</f>
        <v>Ke</v>
      </c>
      <c r="Y20" s="31">
        <f>Y11</f>
        <v>0.5</v>
      </c>
      <c r="Z20" s="21">
        <f>Z11</f>
        <v>1.333333333333333</v>
      </c>
      <c r="AA20" s="21">
        <f>AA11</f>
        <v>0.5</v>
      </c>
      <c r="AB20" s="45">
        <v>1</v>
      </c>
    </row>
    <row r="21" spans="2:30" x14ac:dyDescent="0.25">
      <c r="B21" s="13" t="s">
        <v>26</v>
      </c>
      <c r="C21" s="14"/>
      <c r="D21" s="15"/>
      <c r="E21" s="3"/>
      <c r="F21" s="3"/>
      <c r="G21" s="3"/>
      <c r="H21" s="3"/>
      <c r="I21" s="3"/>
      <c r="J21" s="3"/>
      <c r="K21" s="3"/>
      <c r="L21" s="3"/>
      <c r="M21" s="3"/>
      <c r="N21" s="3"/>
      <c r="O21" s="3"/>
      <c r="P21" s="3"/>
      <c r="Q21" s="3"/>
      <c r="R21" s="3"/>
      <c r="S21" s="3"/>
      <c r="T21" s="4"/>
    </row>
    <row r="22" spans="2:30" x14ac:dyDescent="0.25">
      <c r="B22" s="5"/>
      <c r="C22" s="11" t="s">
        <v>17</v>
      </c>
      <c r="D22" s="16" t="str">
        <f t="shared" ref="D22:D27" si="0">D9</f>
        <v>Ko/V</v>
      </c>
      <c r="E22" s="19">
        <f>5/4</f>
        <v>1.25</v>
      </c>
      <c r="F22" s="20">
        <f t="shared" ref="F22:M22" si="1">5/4</f>
        <v>1.25</v>
      </c>
      <c r="G22" s="20">
        <f t="shared" si="1"/>
        <v>1.25</v>
      </c>
      <c r="H22" s="20">
        <f t="shared" si="1"/>
        <v>1.25</v>
      </c>
      <c r="I22" s="20">
        <f t="shared" si="1"/>
        <v>1.25</v>
      </c>
      <c r="J22" s="20">
        <f t="shared" si="1"/>
        <v>1.25</v>
      </c>
      <c r="K22" s="20">
        <f t="shared" si="1"/>
        <v>1.25</v>
      </c>
      <c r="L22" s="20">
        <f t="shared" si="1"/>
        <v>1.25</v>
      </c>
      <c r="M22" s="20">
        <f t="shared" si="1"/>
        <v>1.25</v>
      </c>
      <c r="N22" s="20">
        <v>1</v>
      </c>
      <c r="O22" s="20">
        <v>1</v>
      </c>
      <c r="P22" s="20">
        <v>1</v>
      </c>
      <c r="Q22" s="20">
        <v>1</v>
      </c>
      <c r="R22" s="20">
        <v>1</v>
      </c>
      <c r="S22" s="20">
        <v>1</v>
      </c>
      <c r="T22" s="9">
        <f>AVERAGE(E22:S22)</f>
        <v>1.1499999999999999</v>
      </c>
      <c r="X22" s="29"/>
      <c r="Y22" s="1" t="str">
        <f>$Y$7</f>
        <v>Ko</v>
      </c>
      <c r="Z22" s="1" t="str">
        <f>$Z$7</f>
        <v>V</v>
      </c>
      <c r="AA22" s="1" t="str">
        <f>$AA$7</f>
        <v>E</v>
      </c>
      <c r="AB22" s="1" t="str">
        <f>$AB$7</f>
        <v>Ke</v>
      </c>
    </row>
    <row r="23" spans="2:30" x14ac:dyDescent="0.25">
      <c r="B23" s="5"/>
      <c r="C23" s="11" t="s">
        <v>18</v>
      </c>
      <c r="D23" s="16" t="str">
        <f t="shared" si="0"/>
        <v>V/E</v>
      </c>
      <c r="E23" s="20">
        <v>1</v>
      </c>
      <c r="F23" s="20">
        <v>1</v>
      </c>
      <c r="G23" s="20">
        <v>1</v>
      </c>
      <c r="H23" s="20">
        <v>1</v>
      </c>
      <c r="I23" s="20">
        <v>1</v>
      </c>
      <c r="J23" s="20">
        <v>1</v>
      </c>
      <c r="K23" s="20">
        <v>1</v>
      </c>
      <c r="L23" s="20">
        <v>1</v>
      </c>
      <c r="M23" s="20">
        <v>1</v>
      </c>
      <c r="N23" s="20">
        <v>1</v>
      </c>
      <c r="O23" s="20">
        <v>1</v>
      </c>
      <c r="P23" s="20">
        <v>1</v>
      </c>
      <c r="Q23" s="20">
        <v>1</v>
      </c>
      <c r="R23" s="20">
        <v>1</v>
      </c>
      <c r="S23" s="20">
        <v>1</v>
      </c>
      <c r="T23" s="9">
        <f t="shared" ref="T23:T27" si="2">AVERAGE(E23:S23)</f>
        <v>1</v>
      </c>
      <c r="X23" s="1" t="str">
        <f>$X$8</f>
        <v>Ko</v>
      </c>
      <c r="Y23" s="43">
        <f t="shared" ref="Y23:AB26" si="3">Y17</f>
        <v>1</v>
      </c>
      <c r="Z23" s="21">
        <f t="shared" si="3"/>
        <v>1.1499999999999999</v>
      </c>
      <c r="AA23" s="21">
        <f t="shared" si="3"/>
        <v>2.5</v>
      </c>
      <c r="AB23" s="32">
        <f t="shared" si="3"/>
        <v>0.5</v>
      </c>
    </row>
    <row r="24" spans="2:30" x14ac:dyDescent="0.25">
      <c r="B24" s="5"/>
      <c r="C24" s="11" t="s">
        <v>19</v>
      </c>
      <c r="D24" s="16" t="str">
        <f t="shared" si="0"/>
        <v>E/Ke</v>
      </c>
      <c r="E24" s="20">
        <v>0.5</v>
      </c>
      <c r="F24" s="20">
        <v>0.5</v>
      </c>
      <c r="G24" s="20">
        <v>0.5</v>
      </c>
      <c r="H24" s="20">
        <v>0.5</v>
      </c>
      <c r="I24" s="20">
        <v>0.5</v>
      </c>
      <c r="J24" s="20">
        <v>0.5</v>
      </c>
      <c r="K24" s="20">
        <v>0.5</v>
      </c>
      <c r="L24" s="20">
        <v>0.5</v>
      </c>
      <c r="M24" s="20">
        <v>0.5</v>
      </c>
      <c r="N24" s="20">
        <v>0.5</v>
      </c>
      <c r="O24" s="20">
        <v>0.5</v>
      </c>
      <c r="P24" s="20">
        <v>0.5</v>
      </c>
      <c r="Q24" s="20">
        <v>0.5</v>
      </c>
      <c r="R24" s="20">
        <v>0.5</v>
      </c>
      <c r="S24" s="20">
        <v>0.5</v>
      </c>
      <c r="T24" s="9">
        <f t="shared" si="2"/>
        <v>0.5</v>
      </c>
      <c r="X24" s="1" t="str">
        <f>$X$9</f>
        <v>V</v>
      </c>
      <c r="Y24" s="30">
        <f t="shared" si="3"/>
        <v>1.1499999999999999</v>
      </c>
      <c r="Z24" s="44">
        <f t="shared" si="3"/>
        <v>1</v>
      </c>
      <c r="AA24" s="21">
        <f t="shared" si="3"/>
        <v>1</v>
      </c>
      <c r="AB24" s="33">
        <f t="shared" si="3"/>
        <v>1.333333333333333</v>
      </c>
    </row>
    <row r="25" spans="2:30" x14ac:dyDescent="0.25">
      <c r="B25" s="5"/>
      <c r="C25" s="11" t="s">
        <v>20</v>
      </c>
      <c r="D25" s="16" t="str">
        <f t="shared" si="0"/>
        <v>V/Ke</v>
      </c>
      <c r="E25" s="20">
        <f>4/3</f>
        <v>1.3333333333333333</v>
      </c>
      <c r="F25" s="20">
        <f t="shared" ref="F25:S25" si="4">4/3</f>
        <v>1.3333333333333333</v>
      </c>
      <c r="G25" s="20">
        <f t="shared" si="4"/>
        <v>1.3333333333333333</v>
      </c>
      <c r="H25" s="20">
        <f t="shared" si="4"/>
        <v>1.3333333333333333</v>
      </c>
      <c r="I25" s="20">
        <f t="shared" si="4"/>
        <v>1.3333333333333333</v>
      </c>
      <c r="J25" s="20">
        <f t="shared" si="4"/>
        <v>1.3333333333333333</v>
      </c>
      <c r="K25" s="20">
        <f t="shared" si="4"/>
        <v>1.3333333333333333</v>
      </c>
      <c r="L25" s="20">
        <f t="shared" si="4"/>
        <v>1.3333333333333333</v>
      </c>
      <c r="M25" s="20">
        <f t="shared" si="4"/>
        <v>1.3333333333333333</v>
      </c>
      <c r="N25" s="20">
        <f t="shared" si="4"/>
        <v>1.3333333333333333</v>
      </c>
      <c r="O25" s="20">
        <f t="shared" si="4"/>
        <v>1.3333333333333333</v>
      </c>
      <c r="P25" s="20">
        <f t="shared" si="4"/>
        <v>1.3333333333333333</v>
      </c>
      <c r="Q25" s="20">
        <f t="shared" si="4"/>
        <v>1.3333333333333333</v>
      </c>
      <c r="R25" s="20">
        <f t="shared" si="4"/>
        <v>1.3333333333333333</v>
      </c>
      <c r="S25" s="20">
        <f t="shared" si="4"/>
        <v>1.3333333333333333</v>
      </c>
      <c r="T25" s="9">
        <f t="shared" si="2"/>
        <v>1.333333333333333</v>
      </c>
      <c r="X25" s="1" t="str">
        <f>$X$10</f>
        <v>E</v>
      </c>
      <c r="Y25" s="30">
        <f t="shared" si="3"/>
        <v>2.5</v>
      </c>
      <c r="Z25" s="21">
        <f t="shared" si="3"/>
        <v>1</v>
      </c>
      <c r="AA25" s="44">
        <f t="shared" si="3"/>
        <v>1</v>
      </c>
      <c r="AB25" s="33">
        <f t="shared" si="3"/>
        <v>0.5</v>
      </c>
    </row>
    <row r="26" spans="2:30" x14ac:dyDescent="0.25">
      <c r="B26" s="22"/>
      <c r="C26" s="23" t="str">
        <f>C13</f>
        <v>Kondisi vs Ekonomi</v>
      </c>
      <c r="D26" s="24" t="str">
        <f t="shared" si="0"/>
        <v>Ko/E</v>
      </c>
      <c r="E26" s="26">
        <f>5/2</f>
        <v>2.5</v>
      </c>
      <c r="F26" s="26">
        <f t="shared" ref="F26:S26" si="5">5/2</f>
        <v>2.5</v>
      </c>
      <c r="G26" s="26">
        <f t="shared" si="5"/>
        <v>2.5</v>
      </c>
      <c r="H26" s="26">
        <f t="shared" si="5"/>
        <v>2.5</v>
      </c>
      <c r="I26" s="26">
        <f t="shared" si="5"/>
        <v>2.5</v>
      </c>
      <c r="J26" s="26">
        <f t="shared" si="5"/>
        <v>2.5</v>
      </c>
      <c r="K26" s="26">
        <f t="shared" si="5"/>
        <v>2.5</v>
      </c>
      <c r="L26" s="26">
        <f t="shared" si="5"/>
        <v>2.5</v>
      </c>
      <c r="M26" s="26">
        <f t="shared" si="5"/>
        <v>2.5</v>
      </c>
      <c r="N26" s="26">
        <f t="shared" si="5"/>
        <v>2.5</v>
      </c>
      <c r="O26" s="26">
        <f t="shared" si="5"/>
        <v>2.5</v>
      </c>
      <c r="P26" s="26">
        <f t="shared" si="5"/>
        <v>2.5</v>
      </c>
      <c r="Q26" s="26">
        <f t="shared" si="5"/>
        <v>2.5</v>
      </c>
      <c r="R26" s="26">
        <f t="shared" si="5"/>
        <v>2.5</v>
      </c>
      <c r="S26" s="26">
        <f t="shared" si="5"/>
        <v>2.5</v>
      </c>
      <c r="T26" s="9">
        <f t="shared" si="2"/>
        <v>2.5</v>
      </c>
      <c r="X26" s="1" t="str">
        <f>$X$11</f>
        <v>Ke</v>
      </c>
      <c r="Y26" s="31">
        <f t="shared" si="3"/>
        <v>0.5</v>
      </c>
      <c r="Z26" s="21">
        <f t="shared" si="3"/>
        <v>1.333333333333333</v>
      </c>
      <c r="AA26" s="21">
        <f t="shared" si="3"/>
        <v>0.5</v>
      </c>
      <c r="AB26" s="45">
        <f t="shared" si="3"/>
        <v>1</v>
      </c>
    </row>
    <row r="27" spans="2:30" x14ac:dyDescent="0.25">
      <c r="B27" s="22"/>
      <c r="C27" s="23" t="str">
        <f>C14</f>
        <v>Kebijakan vs Kondisi</v>
      </c>
      <c r="D27" s="24" t="str">
        <f t="shared" si="0"/>
        <v>Ko/Ke</v>
      </c>
      <c r="E27" s="26">
        <f>2/4</f>
        <v>0.5</v>
      </c>
      <c r="F27" s="26">
        <f t="shared" ref="F27:S27" si="6">2/4</f>
        <v>0.5</v>
      </c>
      <c r="G27" s="26">
        <f t="shared" si="6"/>
        <v>0.5</v>
      </c>
      <c r="H27" s="26">
        <f t="shared" si="6"/>
        <v>0.5</v>
      </c>
      <c r="I27" s="26">
        <f t="shared" si="6"/>
        <v>0.5</v>
      </c>
      <c r="J27" s="26">
        <f t="shared" si="6"/>
        <v>0.5</v>
      </c>
      <c r="K27" s="26">
        <f t="shared" si="6"/>
        <v>0.5</v>
      </c>
      <c r="L27" s="26">
        <f t="shared" si="6"/>
        <v>0.5</v>
      </c>
      <c r="M27" s="26">
        <f t="shared" si="6"/>
        <v>0.5</v>
      </c>
      <c r="N27" s="26">
        <f t="shared" si="6"/>
        <v>0.5</v>
      </c>
      <c r="O27" s="26">
        <f t="shared" si="6"/>
        <v>0.5</v>
      </c>
      <c r="P27" s="26">
        <f t="shared" si="6"/>
        <v>0.5</v>
      </c>
      <c r="Q27" s="26">
        <f t="shared" si="6"/>
        <v>0.5</v>
      </c>
      <c r="R27" s="26">
        <f t="shared" si="6"/>
        <v>0.5</v>
      </c>
      <c r="S27" s="26">
        <f t="shared" si="6"/>
        <v>0.5</v>
      </c>
      <c r="T27" s="9">
        <f t="shared" si="2"/>
        <v>0.5</v>
      </c>
    </row>
    <row r="28" spans="2:30" ht="15.75" thickBot="1" x14ac:dyDescent="0.3">
      <c r="B28" s="6"/>
      <c r="C28" s="12"/>
      <c r="D28" s="7"/>
      <c r="E28" s="8"/>
      <c r="F28" s="8"/>
      <c r="G28" s="8"/>
      <c r="H28" s="8"/>
      <c r="I28" s="8"/>
      <c r="J28" s="8"/>
      <c r="K28" s="8"/>
      <c r="L28" s="8"/>
      <c r="M28" s="8"/>
      <c r="N28" s="8"/>
      <c r="O28" s="8"/>
      <c r="P28" s="8"/>
      <c r="Q28" s="8"/>
      <c r="R28" s="8"/>
      <c r="S28" s="8"/>
      <c r="T28" s="10"/>
      <c r="W28" t="s">
        <v>42</v>
      </c>
      <c r="AD28" t="s">
        <v>43</v>
      </c>
    </row>
    <row r="29" spans="2:30" ht="15.75" thickTop="1" x14ac:dyDescent="0.25"/>
    <row r="30" spans="2:30" x14ac:dyDescent="0.25">
      <c r="W30" s="28" t="s">
        <v>44</v>
      </c>
      <c r="Z30" s="28" t="s">
        <v>50</v>
      </c>
    </row>
    <row r="32" spans="2:30" x14ac:dyDescent="0.25">
      <c r="Y32" s="37">
        <f>(Y17*Y23)+(Z17*Y24)+(AA17*Y25)+(AB17*Y26)</f>
        <v>8.8224999999999998</v>
      </c>
      <c r="Z32" s="36">
        <f>(Y17*Z23)+(Z17*Z24)+(AA17*Z25)+(AB17*Z26)</f>
        <v>5.4666666666666668</v>
      </c>
      <c r="AA32" s="36">
        <f>(Y17*AA23)+(Z17*AA24)+(AA17*AA25)+(AB17*AA26)</f>
        <v>6.4</v>
      </c>
      <c r="AB32" s="40">
        <f>(Y17*AB23)+(Z17*AB24)+(AA17*AB25)+(AB17*AB26)</f>
        <v>3.7833333333333328</v>
      </c>
    </row>
    <row r="33" spans="23:39" x14ac:dyDescent="0.25">
      <c r="Y33" s="38">
        <f>(Y18*Y23)+(Z18*Y24)+(AA18*Y25)+(AB18*Y26)</f>
        <v>5.4666666666666668</v>
      </c>
      <c r="Z33" s="36">
        <f>(Y18*Z23)+(Z18*Z24)+(AA18*Z25)+(AB18*Z26)</f>
        <v>5.1002777777777766</v>
      </c>
      <c r="AA33" s="36">
        <f>(Y18*AA23)+(Z18*AA24)+(AA18*AA25)+(AB18*AA26)</f>
        <v>5.5416666666666661</v>
      </c>
      <c r="AB33" s="41">
        <f>(Y18*AB23)+(Z18*AB24)+(AA18*AB25)+(AB18*AB26)</f>
        <v>3.7416666666666663</v>
      </c>
    </row>
    <row r="34" spans="23:39" x14ac:dyDescent="0.25">
      <c r="Y34" s="38">
        <f>(Y19*Y23)+(Z19*Y24)+(AA19*Y25)+(AB19*Y26)</f>
        <v>6.4</v>
      </c>
      <c r="Z34" s="36">
        <f>(Y19*Z23)+(Z19*Z24)+(AA19*Z25)+(AB19*Z26)</f>
        <v>5.5416666666666661</v>
      </c>
      <c r="AA34" s="36">
        <f>(Y19*AA23)+(Z19*AA24)+(AA19*AA25)+(AB19*AA26)</f>
        <v>8.5</v>
      </c>
      <c r="AB34" s="41">
        <f>(Y19*AB23)+(Z19*AB24)+(AA19*AB25)+(AB19*AB26)</f>
        <v>3.583333333333333</v>
      </c>
    </row>
    <row r="35" spans="23:39" x14ac:dyDescent="0.25">
      <c r="Y35" s="39">
        <f>(Y20*Y23)+(Z20*Y24)+(AA20*Y25)+(AB20*Y26)</f>
        <v>3.7833333333333328</v>
      </c>
      <c r="Z35" s="36">
        <f>(Y20*Z23)+(Z20*Z24)+(AA20*Z25)+(AB20*Z26)</f>
        <v>3.7416666666666663</v>
      </c>
      <c r="AA35" s="36">
        <f>(Y20*AA23)+(Z20*AA24)+(AA20*AA25)+(AB20*AA26)</f>
        <v>3.583333333333333</v>
      </c>
      <c r="AB35" s="42">
        <f>(Y20*AB23)+(Z20*AB24)+(AA20*AB25)+(AB20*AB26)</f>
        <v>3.2777777777777768</v>
      </c>
    </row>
    <row r="38" spans="23:39" x14ac:dyDescent="0.25">
      <c r="W38" s="404" t="s">
        <v>62</v>
      </c>
      <c r="X38" s="404"/>
      <c r="Y38" s="404"/>
      <c r="Z38" s="404"/>
      <c r="AA38" s="404"/>
      <c r="AB38" s="404"/>
      <c r="AC38" s="404"/>
      <c r="AD38" s="404"/>
      <c r="AE38" s="404"/>
      <c r="AF38" s="404"/>
      <c r="AG38" s="404"/>
      <c r="AH38" s="404"/>
      <c r="AI38" s="404"/>
      <c r="AJ38" s="404"/>
      <c r="AK38" s="404"/>
      <c r="AL38" s="404"/>
      <c r="AM38" s="63"/>
    </row>
    <row r="39" spans="23:39" x14ac:dyDescent="0.25">
      <c r="W39" s="405" t="s">
        <v>63</v>
      </c>
      <c r="X39" s="405"/>
      <c r="Y39" s="405"/>
      <c r="Z39" s="405"/>
      <c r="AA39" s="405"/>
      <c r="AB39" s="405"/>
      <c r="AC39" s="405"/>
      <c r="AD39" s="405"/>
      <c r="AE39" s="405"/>
      <c r="AF39" s="405"/>
      <c r="AG39" s="405"/>
      <c r="AH39" s="405"/>
      <c r="AI39" s="405"/>
      <c r="AJ39" s="405"/>
      <c r="AK39" s="405"/>
      <c r="AL39" s="405"/>
      <c r="AM39" s="64"/>
    </row>
    <row r="40" spans="23:39" ht="15.75" thickBot="1" x14ac:dyDescent="0.3">
      <c r="W40" s="406" t="s">
        <v>64</v>
      </c>
      <c r="X40" s="406"/>
      <c r="Y40" s="406"/>
      <c r="Z40" s="406"/>
      <c r="AA40" s="406"/>
      <c r="AB40" s="406"/>
      <c r="AC40" s="406"/>
      <c r="AD40" s="406"/>
      <c r="AE40" s="406"/>
      <c r="AF40" s="406"/>
      <c r="AG40" s="406"/>
      <c r="AH40" s="406"/>
      <c r="AI40" s="406"/>
      <c r="AJ40" s="406"/>
      <c r="AK40" s="406"/>
      <c r="AL40" s="406"/>
      <c r="AM40" s="65"/>
    </row>
    <row r="41" spans="23:39" ht="15.75" thickTop="1" x14ac:dyDescent="0.25"/>
    <row r="42" spans="23:39" x14ac:dyDescent="0.25">
      <c r="W42" s="69" t="s">
        <v>46</v>
      </c>
      <c r="AL42" s="50" t="s">
        <v>48</v>
      </c>
    </row>
    <row r="43" spans="23:39" x14ac:dyDescent="0.25">
      <c r="AC43" s="37">
        <f>Y32</f>
        <v>8.8224999999999998</v>
      </c>
      <c r="AD43" s="1" t="s">
        <v>47</v>
      </c>
      <c r="AE43" s="36">
        <f>Z32</f>
        <v>5.4666666666666668</v>
      </c>
      <c r="AF43" s="1" t="s">
        <v>47</v>
      </c>
      <c r="AG43" s="36">
        <f>AA32</f>
        <v>6.4</v>
      </c>
      <c r="AH43" s="1" t="s">
        <v>47</v>
      </c>
      <c r="AI43" s="40">
        <f>AB32</f>
        <v>3.7833333333333328</v>
      </c>
      <c r="AJ43" s="1" t="s">
        <v>45</v>
      </c>
      <c r="AK43" s="34">
        <f>AC43+AE43+AG43+AI43</f>
        <v>24.472499999999997</v>
      </c>
      <c r="AL43" s="49">
        <f>AK43/$AK$47</f>
        <v>0.29579777197305956</v>
      </c>
    </row>
    <row r="44" spans="23:39" x14ac:dyDescent="0.25">
      <c r="AC44" s="38">
        <f>Y33</f>
        <v>5.4666666666666668</v>
      </c>
      <c r="AD44" s="1" t="s">
        <v>47</v>
      </c>
      <c r="AE44" s="36">
        <f>Z33</f>
        <v>5.1002777777777766</v>
      </c>
      <c r="AF44" s="1" t="s">
        <v>47</v>
      </c>
      <c r="AG44" s="36">
        <f>AA33</f>
        <v>5.5416666666666661</v>
      </c>
      <c r="AH44" s="1" t="s">
        <v>47</v>
      </c>
      <c r="AI44" s="41">
        <f>AB33</f>
        <v>3.7416666666666663</v>
      </c>
      <c r="AJ44" s="1" t="s">
        <v>45</v>
      </c>
      <c r="AK44" s="34">
        <f t="shared" ref="AK44:AK46" si="7">AC44+AE44+AG44+AI44</f>
        <v>19.850277777777777</v>
      </c>
      <c r="AL44" s="49">
        <f>AK44/$AK$47</f>
        <v>0.23992922421955268</v>
      </c>
    </row>
    <row r="45" spans="23:39" x14ac:dyDescent="0.25">
      <c r="AC45" s="38">
        <f>Y34</f>
        <v>6.4</v>
      </c>
      <c r="AD45" s="1" t="s">
        <v>47</v>
      </c>
      <c r="AE45" s="36">
        <f>Z34</f>
        <v>5.5416666666666661</v>
      </c>
      <c r="AF45" s="1" t="s">
        <v>47</v>
      </c>
      <c r="AG45" s="36">
        <f>AA34</f>
        <v>8.5</v>
      </c>
      <c r="AH45" s="1" t="s">
        <v>47</v>
      </c>
      <c r="AI45" s="41">
        <f>AB34</f>
        <v>3.583333333333333</v>
      </c>
      <c r="AJ45" s="1" t="s">
        <v>45</v>
      </c>
      <c r="AK45" s="34">
        <f t="shared" si="7"/>
        <v>24.024999999999999</v>
      </c>
      <c r="AL45" s="49">
        <f>AK45/$AK$47</f>
        <v>0.29038886389427959</v>
      </c>
    </row>
    <row r="46" spans="23:39" x14ac:dyDescent="0.25">
      <c r="AC46" s="39">
        <f>Y35</f>
        <v>3.7833333333333328</v>
      </c>
      <c r="AD46" s="1" t="s">
        <v>47</v>
      </c>
      <c r="AE46" s="36">
        <f>Z35</f>
        <v>3.7416666666666663</v>
      </c>
      <c r="AF46" s="1" t="s">
        <v>47</v>
      </c>
      <c r="AG46" s="36">
        <f>AA35</f>
        <v>3.583333333333333</v>
      </c>
      <c r="AH46" s="1" t="s">
        <v>47</v>
      </c>
      <c r="AI46" s="42">
        <f>AB35</f>
        <v>3.2777777777777768</v>
      </c>
      <c r="AJ46" s="1" t="s">
        <v>45</v>
      </c>
      <c r="AK46" s="47">
        <f t="shared" si="7"/>
        <v>14.386111111111108</v>
      </c>
      <c r="AL46" s="47">
        <f>AK46/$AK$47</f>
        <v>0.17388413991310828</v>
      </c>
    </row>
    <row r="47" spans="23:39" x14ac:dyDescent="0.25">
      <c r="AK47" s="48">
        <f>SUM(AK43:AK46)</f>
        <v>82.73388888888887</v>
      </c>
      <c r="AL47" s="48">
        <f>SUM(AL43:AL46)</f>
        <v>1.0000000000000002</v>
      </c>
    </row>
    <row r="49" spans="23:30" x14ac:dyDescent="0.25">
      <c r="W49" s="68" t="s">
        <v>49</v>
      </c>
      <c r="AC49" s="28" t="s">
        <v>41</v>
      </c>
    </row>
    <row r="51" spans="23:30" x14ac:dyDescent="0.25">
      <c r="X51" s="29"/>
      <c r="Y51" s="1" t="str">
        <f>$Y$7</f>
        <v>Ko</v>
      </c>
      <c r="Z51" s="1" t="str">
        <f>$Z$7</f>
        <v>V</v>
      </c>
      <c r="AA51" s="1" t="str">
        <f>$AA$7</f>
        <v>E</v>
      </c>
      <c r="AB51" s="1" t="str">
        <f>$AB$7</f>
        <v>Ke</v>
      </c>
    </row>
    <row r="52" spans="23:30" x14ac:dyDescent="0.25">
      <c r="X52" s="1" t="str">
        <f>$X$8</f>
        <v>Ko</v>
      </c>
      <c r="Y52" s="52">
        <f t="shared" ref="Y52:AB55" si="8">Y32</f>
        <v>8.8224999999999998</v>
      </c>
      <c r="Z52" s="21">
        <f t="shared" si="8"/>
        <v>5.4666666666666668</v>
      </c>
      <c r="AA52" s="21">
        <f t="shared" si="8"/>
        <v>6.4</v>
      </c>
      <c r="AB52" s="32">
        <f t="shared" si="8"/>
        <v>3.7833333333333328</v>
      </c>
    </row>
    <row r="53" spans="23:30" x14ac:dyDescent="0.25">
      <c r="X53" s="1" t="str">
        <f>$X$9</f>
        <v>V</v>
      </c>
      <c r="Y53" s="30">
        <f t="shared" si="8"/>
        <v>5.4666666666666668</v>
      </c>
      <c r="Z53" s="21">
        <f t="shared" si="8"/>
        <v>5.1002777777777766</v>
      </c>
      <c r="AA53" s="21">
        <f t="shared" si="8"/>
        <v>5.5416666666666661</v>
      </c>
      <c r="AB53" s="33">
        <f t="shared" si="8"/>
        <v>3.7416666666666663</v>
      </c>
    </row>
    <row r="54" spans="23:30" x14ac:dyDescent="0.25">
      <c r="X54" s="1" t="str">
        <f>$X$10</f>
        <v>E</v>
      </c>
      <c r="Y54" s="30">
        <f t="shared" si="8"/>
        <v>6.4</v>
      </c>
      <c r="Z54" s="21">
        <f t="shared" si="8"/>
        <v>5.5416666666666661</v>
      </c>
      <c r="AA54" s="21">
        <f t="shared" si="8"/>
        <v>8.5</v>
      </c>
      <c r="AB54" s="33">
        <f t="shared" si="8"/>
        <v>3.583333333333333</v>
      </c>
    </row>
    <row r="55" spans="23:30" x14ac:dyDescent="0.25">
      <c r="X55" s="1" t="str">
        <f>$X$11</f>
        <v>Ke</v>
      </c>
      <c r="Y55" s="31">
        <f t="shared" si="8"/>
        <v>3.7833333333333328</v>
      </c>
      <c r="Z55" s="21">
        <f t="shared" si="8"/>
        <v>3.7416666666666663</v>
      </c>
      <c r="AA55" s="21">
        <f t="shared" si="8"/>
        <v>3.583333333333333</v>
      </c>
      <c r="AB55" s="53">
        <f t="shared" si="8"/>
        <v>3.2777777777777768</v>
      </c>
    </row>
    <row r="57" spans="23:30" x14ac:dyDescent="0.25">
      <c r="X57" s="29"/>
      <c r="Y57" s="1" t="str">
        <f>$Y$7</f>
        <v>Ko</v>
      </c>
      <c r="Z57" s="1" t="str">
        <f>$Z$7</f>
        <v>V</v>
      </c>
      <c r="AA57" s="1" t="str">
        <f>$AA$7</f>
        <v>E</v>
      </c>
      <c r="AB57" s="1" t="str">
        <f>$AB$7</f>
        <v>Ke</v>
      </c>
    </row>
    <row r="58" spans="23:30" x14ac:dyDescent="0.25">
      <c r="X58" s="1" t="str">
        <f>$X$8</f>
        <v>Ko</v>
      </c>
      <c r="Y58" s="52">
        <f t="shared" ref="Y58:AB61" si="9">Y52</f>
        <v>8.8224999999999998</v>
      </c>
      <c r="Z58" s="51">
        <f t="shared" si="9"/>
        <v>5.4666666666666668</v>
      </c>
      <c r="AA58" s="51">
        <f t="shared" si="9"/>
        <v>6.4</v>
      </c>
      <c r="AB58" s="54">
        <f t="shared" si="9"/>
        <v>3.7833333333333328</v>
      </c>
    </row>
    <row r="59" spans="23:30" x14ac:dyDescent="0.25">
      <c r="X59" s="1" t="str">
        <f>$X$9</f>
        <v>V</v>
      </c>
      <c r="Y59" s="55">
        <f t="shared" si="9"/>
        <v>5.4666666666666668</v>
      </c>
      <c r="Z59" s="51">
        <f t="shared" si="9"/>
        <v>5.1002777777777766</v>
      </c>
      <c r="AA59" s="51">
        <f t="shared" si="9"/>
        <v>5.5416666666666661</v>
      </c>
      <c r="AB59" s="56">
        <f t="shared" si="9"/>
        <v>3.7416666666666663</v>
      </c>
    </row>
    <row r="60" spans="23:30" x14ac:dyDescent="0.25">
      <c r="X60" s="1" t="str">
        <f>$X$10</f>
        <v>E</v>
      </c>
      <c r="Y60" s="55">
        <f t="shared" si="9"/>
        <v>6.4</v>
      </c>
      <c r="Z60" s="51">
        <f t="shared" si="9"/>
        <v>5.5416666666666661</v>
      </c>
      <c r="AA60" s="51">
        <f t="shared" si="9"/>
        <v>8.5</v>
      </c>
      <c r="AB60" s="56">
        <f t="shared" si="9"/>
        <v>3.583333333333333</v>
      </c>
    </row>
    <row r="61" spans="23:30" x14ac:dyDescent="0.25">
      <c r="X61" s="1" t="str">
        <f>$X$11</f>
        <v>Ke</v>
      </c>
      <c r="Y61" s="57">
        <f t="shared" si="9"/>
        <v>3.7833333333333328</v>
      </c>
      <c r="Z61" s="51">
        <f t="shared" si="9"/>
        <v>3.7416666666666663</v>
      </c>
      <c r="AA61" s="51">
        <f t="shared" si="9"/>
        <v>3.583333333333333</v>
      </c>
      <c r="AB61" s="53">
        <f t="shared" si="9"/>
        <v>3.2777777777777768</v>
      </c>
    </row>
    <row r="63" spans="23:30" x14ac:dyDescent="0.25">
      <c r="W63" t="s">
        <v>42</v>
      </c>
      <c r="AD63" t="s">
        <v>43</v>
      </c>
    </row>
    <row r="64" spans="23:30" x14ac:dyDescent="0.25">
      <c r="W64" s="28" t="s">
        <v>44</v>
      </c>
    </row>
    <row r="66" spans="23:39" x14ac:dyDescent="0.25">
      <c r="Y66" s="37">
        <f>(Y52*Y58)+(Z52*Y59)+(AA52*Y60)+(AB52*Y61)</f>
        <v>162.99456180555555</v>
      </c>
      <c r="Z66" s="36">
        <f>(Y52*Z58)+(Z52*Z59)+(AA52*Z60)+(AB52*Z61)</f>
        <v>125.73382407407406</v>
      </c>
      <c r="AA66" s="36">
        <f>(Y52*AA58)+(Z52*AA59)+(AA52*AA60)+(AB52*AA61)</f>
        <v>154.7153888888889</v>
      </c>
      <c r="AB66" s="40">
        <f>(Y52*AB58)+(Z52*AB59)+(AA52*AB60)+(AB52*AB61)</f>
        <v>89.167162037037016</v>
      </c>
    </row>
    <row r="67" spans="23:39" x14ac:dyDescent="0.25">
      <c r="Y67" s="38">
        <f>(Y53*Y58)+(Z53*Y59)+(AA53*Y60)+(AB53*Y61)</f>
        <v>125.73382407407406</v>
      </c>
      <c r="Z67" s="36">
        <f>(Y53*Z58)+(Z53*Z59)+(AA53*Z60)+(AB53*Z61)</f>
        <v>100.60741674382714</v>
      </c>
      <c r="AA67" s="36">
        <f>(Y53*AA58)+(Z53*AA59)+(AA53*AA60)+(AB53*AA61)</f>
        <v>123.76251157407405</v>
      </c>
      <c r="AB67" s="41">
        <f>(Y53*AB58)+(Z53*AB59)+(AA53*AB60)+(AB53*AB61)</f>
        <v>71.88775231481479</v>
      </c>
    </row>
    <row r="68" spans="23:39" x14ac:dyDescent="0.25">
      <c r="Y68" s="38">
        <f>(Y54*Y58)+(Z54*Y59)+(AA54*Y60)+(AB54*Y61)</f>
        <v>154.7153888888889</v>
      </c>
      <c r="Z68" s="36">
        <f>(Y54*Z58)+(Z54*Z59)+(AA54*Z60)+(AB54*Z61)</f>
        <v>123.76251157407405</v>
      </c>
      <c r="AA68" s="36">
        <f>(Y54*AA58)+(Z54*AA59)+(AA54*AA60)+(AB54*AA61)</f>
        <v>156.76034722222221</v>
      </c>
      <c r="AB68" s="41">
        <f>(Y54*AB58)+(Z54*AB59)+(AA54*AB60)+(AB54*AB61)</f>
        <v>87.152106481481468</v>
      </c>
    </row>
    <row r="69" spans="23:39" x14ac:dyDescent="0.25">
      <c r="Y69" s="39">
        <f>(Y55*Y58)+(Z55*Y59)+(AA55*Y60)+(AB55*Y61)</f>
        <v>89.167162037037016</v>
      </c>
      <c r="Z69" s="36">
        <f>(Y55*Z58)+(Z55*Z59)+(AA55*Z60)+(AB55*Z61)</f>
        <v>71.88775231481479</v>
      </c>
      <c r="AA69" s="36">
        <f>(Y55*AA58)+(Z55*AA59)+(AA55*AA60)+(AB55*AA61)</f>
        <v>87.152106481481468</v>
      </c>
      <c r="AB69" s="42">
        <f>(Y55*AB58)+(Z55*AB59)+(AA55*AB60)+(AB55*AB61)</f>
        <v>51.897785493827143</v>
      </c>
    </row>
    <row r="70" spans="23:39" x14ac:dyDescent="0.25">
      <c r="Y70" s="36"/>
      <c r="Z70" s="36"/>
      <c r="AA70" s="36"/>
      <c r="AB70" s="36"/>
    </row>
    <row r="74" spans="23:39" x14ac:dyDescent="0.25">
      <c r="W74" s="404" t="s">
        <v>62</v>
      </c>
      <c r="X74" s="404"/>
      <c r="Y74" s="404"/>
      <c r="Z74" s="404"/>
      <c r="AA74" s="404"/>
      <c r="AB74" s="404"/>
      <c r="AC74" s="404"/>
      <c r="AD74" s="404"/>
      <c r="AE74" s="404"/>
      <c r="AF74" s="404"/>
      <c r="AG74" s="404"/>
      <c r="AH74" s="404"/>
      <c r="AI74" s="404"/>
      <c r="AJ74" s="404"/>
      <c r="AK74" s="404"/>
      <c r="AL74" s="404"/>
      <c r="AM74" s="63"/>
    </row>
    <row r="75" spans="23:39" x14ac:dyDescent="0.25">
      <c r="W75" s="405" t="s">
        <v>63</v>
      </c>
      <c r="X75" s="405"/>
      <c r="Y75" s="405"/>
      <c r="Z75" s="405"/>
      <c r="AA75" s="405"/>
      <c r="AB75" s="405"/>
      <c r="AC75" s="405"/>
      <c r="AD75" s="405"/>
      <c r="AE75" s="405"/>
      <c r="AF75" s="405"/>
      <c r="AG75" s="405"/>
      <c r="AH75" s="405"/>
      <c r="AI75" s="405"/>
      <c r="AJ75" s="405"/>
      <c r="AK75" s="405"/>
      <c r="AL75" s="405"/>
      <c r="AM75" s="64"/>
    </row>
    <row r="76" spans="23:39" ht="15.75" thickBot="1" x14ac:dyDescent="0.3">
      <c r="W76" s="406" t="s">
        <v>64</v>
      </c>
      <c r="X76" s="406"/>
      <c r="Y76" s="406"/>
      <c r="Z76" s="406"/>
      <c r="AA76" s="406"/>
      <c r="AB76" s="406"/>
      <c r="AC76" s="406"/>
      <c r="AD76" s="406"/>
      <c r="AE76" s="406"/>
      <c r="AF76" s="406"/>
      <c r="AG76" s="406"/>
      <c r="AH76" s="406"/>
      <c r="AI76" s="406"/>
      <c r="AJ76" s="406"/>
      <c r="AK76" s="406"/>
      <c r="AL76" s="406"/>
      <c r="AM76" s="65"/>
    </row>
    <row r="77" spans="23:39" ht="15.75" thickTop="1" x14ac:dyDescent="0.25">
      <c r="W77" s="67"/>
      <c r="X77" s="67"/>
      <c r="Y77" s="67"/>
      <c r="Z77" s="67"/>
      <c r="AA77" s="67"/>
      <c r="AB77" s="67"/>
      <c r="AC77" s="67"/>
      <c r="AD77" s="67"/>
      <c r="AE77" s="67"/>
      <c r="AF77" s="67"/>
      <c r="AG77" s="67"/>
      <c r="AH77" s="67"/>
      <c r="AI77" s="67"/>
      <c r="AJ77" s="67"/>
      <c r="AK77" s="67"/>
      <c r="AL77" s="67"/>
      <c r="AM77" s="65"/>
    </row>
    <row r="78" spans="23:39" x14ac:dyDescent="0.25">
      <c r="W78" s="46" t="s">
        <v>46</v>
      </c>
    </row>
    <row r="79" spans="23:39" x14ac:dyDescent="0.25">
      <c r="AL79" s="50" t="s">
        <v>48</v>
      </c>
    </row>
    <row r="80" spans="23:39" x14ac:dyDescent="0.25">
      <c r="AC80" s="37">
        <f>Y66</f>
        <v>162.99456180555555</v>
      </c>
      <c r="AD80" s="1" t="s">
        <v>47</v>
      </c>
      <c r="AE80" s="36">
        <f>Z66</f>
        <v>125.73382407407406</v>
      </c>
      <c r="AF80" s="1" t="s">
        <v>47</v>
      </c>
      <c r="AG80" s="36">
        <f>AA66</f>
        <v>154.7153888888889</v>
      </c>
      <c r="AH80" s="1" t="s">
        <v>47</v>
      </c>
      <c r="AI80" s="40">
        <f>AB66</f>
        <v>89.167162037037016</v>
      </c>
      <c r="AJ80" s="1" t="s">
        <v>45</v>
      </c>
      <c r="AK80" s="34">
        <f>AC80+AE80+AG80+AI80</f>
        <v>532.61093680555553</v>
      </c>
      <c r="AL80" s="49">
        <f>AK80/$AK$84</f>
        <v>0.29970832001815145</v>
      </c>
    </row>
    <row r="81" spans="23:38" x14ac:dyDescent="0.25">
      <c r="AC81" s="38">
        <f>Y67</f>
        <v>125.73382407407406</v>
      </c>
      <c r="AD81" s="1" t="s">
        <v>47</v>
      </c>
      <c r="AE81" s="36">
        <f>Z67</f>
        <v>100.60741674382714</v>
      </c>
      <c r="AF81" s="1" t="s">
        <v>47</v>
      </c>
      <c r="AG81" s="36">
        <f>AA67</f>
        <v>123.76251157407405</v>
      </c>
      <c r="AH81" s="1" t="s">
        <v>47</v>
      </c>
      <c r="AI81" s="41">
        <f>AB67</f>
        <v>71.88775231481479</v>
      </c>
      <c r="AJ81" s="1" t="s">
        <v>45</v>
      </c>
      <c r="AK81" s="34">
        <f>AC81+AE81+AG81+AI81</f>
        <v>421.99150470679007</v>
      </c>
      <c r="AL81" s="49">
        <f>AK81/$AK$84</f>
        <v>0.23746107373641279</v>
      </c>
    </row>
    <row r="82" spans="23:38" x14ac:dyDescent="0.25">
      <c r="AC82" s="38">
        <f>Y68</f>
        <v>154.7153888888889</v>
      </c>
      <c r="AD82" s="1" t="s">
        <v>47</v>
      </c>
      <c r="AE82" s="36">
        <f>Z68</f>
        <v>123.76251157407405</v>
      </c>
      <c r="AF82" s="1" t="s">
        <v>47</v>
      </c>
      <c r="AG82" s="36">
        <f>AA68</f>
        <v>156.76034722222221</v>
      </c>
      <c r="AH82" s="1" t="s">
        <v>47</v>
      </c>
      <c r="AI82" s="41">
        <f>AB68</f>
        <v>87.152106481481468</v>
      </c>
      <c r="AJ82" s="1" t="s">
        <v>45</v>
      </c>
      <c r="AK82" s="34">
        <f>AC82+AE82+AG82+AI82</f>
        <v>522.39035416666661</v>
      </c>
      <c r="AL82" s="49">
        <f>AK82/$AK$84</f>
        <v>0.29395704185123994</v>
      </c>
    </row>
    <row r="83" spans="23:38" x14ac:dyDescent="0.25">
      <c r="AC83" s="39">
        <f>Y69</f>
        <v>89.167162037037016</v>
      </c>
      <c r="AD83" s="1" t="s">
        <v>47</v>
      </c>
      <c r="AE83" s="36">
        <f>Z69</f>
        <v>71.88775231481479</v>
      </c>
      <c r="AF83" s="1" t="s">
        <v>47</v>
      </c>
      <c r="AG83" s="36">
        <f>AA69</f>
        <v>87.152106481481468</v>
      </c>
      <c r="AH83" s="1" t="s">
        <v>47</v>
      </c>
      <c r="AI83" s="42">
        <f>AB69</f>
        <v>51.897785493827143</v>
      </c>
      <c r="AJ83" s="1" t="s">
        <v>45</v>
      </c>
      <c r="AK83" s="47">
        <f>AC83+AE83+AG83+AI83</f>
        <v>300.10480632716042</v>
      </c>
      <c r="AL83" s="47">
        <f>AK83/$AK$84</f>
        <v>0.16887356439419585</v>
      </c>
    </row>
    <row r="84" spans="23:38" x14ac:dyDescent="0.25">
      <c r="AK84" s="48">
        <f>SUM(AK80:AK83)</f>
        <v>1777.0976020061726</v>
      </c>
      <c r="AL84" s="48">
        <f>SUM(AL80:AL83)</f>
        <v>1</v>
      </c>
    </row>
    <row r="85" spans="23:38" x14ac:dyDescent="0.25">
      <c r="W85" t="s">
        <v>52</v>
      </c>
    </row>
    <row r="87" spans="23:38" x14ac:dyDescent="0.25">
      <c r="Y87" s="37">
        <f>AL43</f>
        <v>0.29579777197305956</v>
      </c>
      <c r="Z87" s="1" t="s">
        <v>53</v>
      </c>
      <c r="AA87" s="40">
        <f>AL80</f>
        <v>0.29970832001815145</v>
      </c>
      <c r="AB87" s="1" t="s">
        <v>45</v>
      </c>
      <c r="AC87" s="34">
        <f>Y87-AA87</f>
        <v>-3.9105480450918884E-3</v>
      </c>
    </row>
    <row r="88" spans="23:38" x14ac:dyDescent="0.25">
      <c r="Y88" s="38">
        <f>AL44</f>
        <v>0.23992922421955268</v>
      </c>
      <c r="Z88" s="1" t="s">
        <v>53</v>
      </c>
      <c r="AA88" s="41">
        <f>AL81</f>
        <v>0.23746107373641279</v>
      </c>
      <c r="AB88" s="1" t="s">
        <v>45</v>
      </c>
      <c r="AC88" s="34">
        <f t="shared" ref="AC88:AC90" si="10">Y88-AA88</f>
        <v>2.4681504831398915E-3</v>
      </c>
    </row>
    <row r="89" spans="23:38" x14ac:dyDescent="0.25">
      <c r="Y89" s="38">
        <f>AL45</f>
        <v>0.29038886389427959</v>
      </c>
      <c r="Z89" s="1" t="s">
        <v>53</v>
      </c>
      <c r="AA89" s="41">
        <f>AL82</f>
        <v>0.29395704185123994</v>
      </c>
      <c r="AB89" s="1" t="s">
        <v>45</v>
      </c>
      <c r="AC89" s="34">
        <f t="shared" si="10"/>
        <v>-3.56817795696035E-3</v>
      </c>
    </row>
    <row r="90" spans="23:38" x14ac:dyDescent="0.25">
      <c r="Y90" s="39">
        <f>AL46</f>
        <v>0.17388413991310828</v>
      </c>
      <c r="Z90" s="1" t="s">
        <v>53</v>
      </c>
      <c r="AA90" s="42">
        <f>AL83</f>
        <v>0.16887356439419585</v>
      </c>
      <c r="AB90" s="1" t="s">
        <v>45</v>
      </c>
      <c r="AC90" s="34">
        <f t="shared" si="10"/>
        <v>5.0105755189124301E-3</v>
      </c>
    </row>
    <row r="91" spans="23:38" x14ac:dyDescent="0.25">
      <c r="AB91" s="1"/>
    </row>
    <row r="92" spans="23:38" x14ac:dyDescent="0.25">
      <c r="W92" t="s">
        <v>54</v>
      </c>
    </row>
    <row r="94" spans="23:38" x14ac:dyDescent="0.25">
      <c r="X94" t="s">
        <v>1</v>
      </c>
      <c r="Z94" s="34">
        <f>Y87</f>
        <v>0.29579777197305956</v>
      </c>
      <c r="AA94" t="s">
        <v>57</v>
      </c>
      <c r="AB94" s="35">
        <f>Z94*100</f>
        <v>29.579777197305958</v>
      </c>
      <c r="AC94" t="s">
        <v>58</v>
      </c>
    </row>
    <row r="95" spans="23:38" x14ac:dyDescent="0.25">
      <c r="X95" t="s">
        <v>55</v>
      </c>
      <c r="Z95" s="34">
        <f t="shared" ref="Z95:Z97" si="11">Y88</f>
        <v>0.23992922421955268</v>
      </c>
      <c r="AA95" t="s">
        <v>57</v>
      </c>
      <c r="AB95" s="35">
        <f t="shared" ref="AB95:AB97" si="12">Z95*100</f>
        <v>23.992922421955267</v>
      </c>
      <c r="AC95" t="s">
        <v>58</v>
      </c>
    </row>
    <row r="96" spans="23:38" x14ac:dyDescent="0.25">
      <c r="X96" t="s">
        <v>11</v>
      </c>
      <c r="Z96" s="34">
        <f t="shared" si="11"/>
        <v>0.29038886389427959</v>
      </c>
      <c r="AA96" t="s">
        <v>57</v>
      </c>
      <c r="AB96" s="35">
        <f t="shared" si="12"/>
        <v>29.038886389427958</v>
      </c>
      <c r="AC96" t="s">
        <v>58</v>
      </c>
    </row>
    <row r="97" spans="24:29" x14ac:dyDescent="0.25">
      <c r="X97" t="s">
        <v>13</v>
      </c>
      <c r="Z97" s="34">
        <f t="shared" si="11"/>
        <v>0.17388413991310828</v>
      </c>
      <c r="AA97" t="s">
        <v>57</v>
      </c>
      <c r="AB97" s="35">
        <f t="shared" si="12"/>
        <v>17.388413991310827</v>
      </c>
      <c r="AC97" t="s">
        <v>58</v>
      </c>
    </row>
  </sheetData>
  <mergeCells count="19">
    <mergeCell ref="W76:AL76"/>
    <mergeCell ref="W38:AL38"/>
    <mergeCell ref="W39:AL39"/>
    <mergeCell ref="W40:AL40"/>
    <mergeCell ref="W74:AL74"/>
    <mergeCell ref="W75:AL75"/>
    <mergeCell ref="W1:AL1"/>
    <mergeCell ref="W2:AL2"/>
    <mergeCell ref="W3:AL3"/>
    <mergeCell ref="B4:T4"/>
    <mergeCell ref="B1:T1"/>
    <mergeCell ref="B2:T2"/>
    <mergeCell ref="B3:T3"/>
    <mergeCell ref="T19:T20"/>
    <mergeCell ref="B19:D20"/>
    <mergeCell ref="E19:S19"/>
    <mergeCell ref="B6:D7"/>
    <mergeCell ref="E6:S6"/>
    <mergeCell ref="T6:T7"/>
  </mergeCells>
  <printOptions horizontalCentered="1"/>
  <pageMargins left="0.98425196850393704" right="0.98425196850393704" top="0.78740157480314965" bottom="0.78740157480314965" header="0.31496062992125984" footer="0.31496062992125984"/>
  <pageSetup paperSize="9" scale="90" orientation="landscape"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120"/>
  <sheetViews>
    <sheetView view="pageBreakPreview" topLeftCell="A34" zoomScaleNormal="100" zoomScaleSheetLayoutView="100" workbookViewId="0">
      <selection activeCell="D49" sqref="D49"/>
    </sheetView>
  </sheetViews>
  <sheetFormatPr defaultRowHeight="15" x14ac:dyDescent="0.25"/>
  <cols>
    <col min="1" max="1" width="5.7109375" style="73" customWidth="1"/>
    <col min="2" max="2" width="17" customWidth="1"/>
    <col min="3" max="3" width="15.140625" style="73" customWidth="1"/>
    <col min="4" max="7" width="9.5703125" style="73" customWidth="1"/>
    <col min="8" max="8" width="13.42578125" style="73" customWidth="1"/>
    <col min="9" max="12" width="11.7109375" style="73" customWidth="1"/>
    <col min="13" max="13" width="13.42578125" style="73" customWidth="1"/>
    <col min="14" max="14" width="9.5703125" bestFit="1" customWidth="1"/>
    <col min="15" max="15" width="9.5703125" hidden="1" customWidth="1"/>
    <col min="16" max="17" width="0" hidden="1" customWidth="1"/>
    <col min="18" max="18" width="11.7109375" customWidth="1"/>
  </cols>
  <sheetData>
    <row r="1" spans="1:33" x14ac:dyDescent="0.25">
      <c r="A1" s="112"/>
      <c r="B1" s="112"/>
      <c r="C1" s="112"/>
      <c r="D1" s="112"/>
      <c r="E1" s="112"/>
      <c r="F1" s="112"/>
      <c r="G1" s="112"/>
      <c r="H1" s="112"/>
      <c r="I1" s="112"/>
      <c r="J1" s="112"/>
      <c r="K1" s="112"/>
      <c r="L1" s="112"/>
      <c r="N1" s="113" t="s">
        <v>268</v>
      </c>
      <c r="O1" s="112"/>
      <c r="P1" s="112"/>
      <c r="Q1" s="112"/>
      <c r="R1" s="112"/>
      <c r="S1" s="112"/>
      <c r="T1" s="112"/>
      <c r="U1" s="112"/>
      <c r="V1" s="112"/>
      <c r="W1" s="112"/>
      <c r="X1" s="112"/>
      <c r="Y1" s="112"/>
      <c r="Z1" s="112"/>
      <c r="AA1" s="112"/>
      <c r="AB1" s="112"/>
      <c r="AD1" s="112"/>
      <c r="AE1" s="112"/>
      <c r="AF1" s="112"/>
      <c r="AG1" s="112"/>
    </row>
    <row r="2" spans="1:33" x14ac:dyDescent="0.25">
      <c r="A2" s="358" t="s">
        <v>62</v>
      </c>
      <c r="B2" s="358"/>
      <c r="C2" s="358"/>
      <c r="D2" s="358"/>
      <c r="E2" s="358"/>
      <c r="F2" s="358"/>
      <c r="G2" s="358"/>
      <c r="H2" s="358"/>
      <c r="I2" s="358"/>
      <c r="J2" s="358"/>
      <c r="K2" s="358"/>
      <c r="L2" s="358"/>
      <c r="M2" s="358"/>
      <c r="N2" s="358"/>
      <c r="O2" s="358"/>
      <c r="P2" s="358"/>
      <c r="Q2" s="358"/>
      <c r="R2" s="358"/>
      <c r="S2" s="114"/>
      <c r="T2" s="114"/>
      <c r="U2" s="114"/>
      <c r="V2" s="114"/>
      <c r="W2" s="114"/>
      <c r="X2" s="114"/>
      <c r="Y2" s="114"/>
      <c r="Z2" s="114"/>
      <c r="AA2" s="114"/>
      <c r="AB2" s="114"/>
      <c r="AC2" s="114"/>
      <c r="AD2" s="114"/>
      <c r="AE2" s="114"/>
      <c r="AF2" s="114"/>
      <c r="AG2" s="112"/>
    </row>
    <row r="3" spans="1:33" ht="15" customHeight="1" x14ac:dyDescent="0.25">
      <c r="A3" s="359" t="s">
        <v>63</v>
      </c>
      <c r="B3" s="359"/>
      <c r="C3" s="359"/>
      <c r="D3" s="359"/>
      <c r="E3" s="359"/>
      <c r="F3" s="359"/>
      <c r="G3" s="359"/>
      <c r="H3" s="359"/>
      <c r="I3" s="359"/>
      <c r="J3" s="359"/>
      <c r="K3" s="359"/>
      <c r="L3" s="359"/>
      <c r="M3" s="359"/>
      <c r="N3" s="359"/>
      <c r="O3" s="359"/>
      <c r="P3" s="359"/>
      <c r="Q3" s="359"/>
      <c r="R3" s="359"/>
      <c r="S3" s="115"/>
      <c r="T3" s="115"/>
      <c r="U3" s="115"/>
      <c r="V3" s="115"/>
      <c r="W3" s="115"/>
      <c r="X3" s="115"/>
      <c r="Y3" s="115"/>
      <c r="Z3" s="115"/>
      <c r="AA3" s="115"/>
      <c r="AB3" s="115"/>
      <c r="AC3" s="115"/>
      <c r="AD3" s="115"/>
      <c r="AE3" s="115"/>
      <c r="AF3" s="115"/>
      <c r="AG3" s="112"/>
    </row>
    <row r="4" spans="1:33" x14ac:dyDescent="0.25">
      <c r="A4" s="360" t="s">
        <v>64</v>
      </c>
      <c r="B4" s="360"/>
      <c r="C4" s="360"/>
      <c r="D4" s="360"/>
      <c r="E4" s="360"/>
      <c r="F4" s="360"/>
      <c r="G4" s="360"/>
      <c r="H4" s="360"/>
      <c r="I4" s="360"/>
      <c r="J4" s="360"/>
      <c r="K4" s="360"/>
      <c r="L4" s="360"/>
      <c r="M4" s="360"/>
      <c r="N4" s="360"/>
      <c r="O4" s="360"/>
      <c r="P4" s="360"/>
      <c r="Q4" s="360"/>
      <c r="R4" s="360"/>
      <c r="S4" s="116"/>
      <c r="T4" s="116"/>
      <c r="U4" s="116"/>
      <c r="V4" s="116"/>
      <c r="W4" s="116"/>
      <c r="X4" s="116"/>
      <c r="Y4" s="116"/>
      <c r="Z4" s="116"/>
      <c r="AA4" s="116"/>
      <c r="AB4" s="116"/>
      <c r="AC4" s="116"/>
      <c r="AD4" s="116"/>
      <c r="AE4" s="116"/>
      <c r="AF4" s="116"/>
      <c r="AG4" s="112"/>
    </row>
    <row r="5" spans="1:33" ht="15.75" thickBot="1" x14ac:dyDescent="0.3">
      <c r="A5" s="361"/>
      <c r="B5" s="361"/>
      <c r="C5" s="361"/>
      <c r="D5" s="361"/>
      <c r="E5" s="361"/>
      <c r="F5" s="361"/>
      <c r="G5" s="361"/>
      <c r="H5" s="361"/>
      <c r="I5" s="361"/>
      <c r="J5" s="361"/>
      <c r="K5" s="361"/>
      <c r="L5" s="361"/>
      <c r="M5" s="361"/>
      <c r="N5" s="361"/>
      <c r="O5" s="361"/>
      <c r="P5" s="361"/>
      <c r="Q5" s="361"/>
      <c r="R5" s="361"/>
      <c r="S5" s="361"/>
      <c r="T5" s="361"/>
      <c r="U5" s="361"/>
      <c r="V5" s="361"/>
      <c r="W5" s="361"/>
      <c r="X5" s="361"/>
      <c r="Y5" s="361"/>
      <c r="Z5" s="361"/>
      <c r="AA5" s="361"/>
      <c r="AB5" s="361"/>
      <c r="AC5" s="361"/>
      <c r="AD5" s="361"/>
      <c r="AE5" s="361"/>
      <c r="AF5" s="361"/>
      <c r="AG5" s="112"/>
    </row>
    <row r="6" spans="1:33" ht="15.75" thickTop="1" x14ac:dyDescent="0.25">
      <c r="A6" s="244"/>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112"/>
    </row>
    <row r="7" spans="1:33" ht="18" x14ac:dyDescent="0.25">
      <c r="A7" s="363" t="s">
        <v>191</v>
      </c>
      <c r="B7" s="363"/>
      <c r="C7" s="363"/>
      <c r="D7" s="363"/>
      <c r="E7" s="363"/>
      <c r="F7" s="363"/>
      <c r="G7" s="363"/>
      <c r="H7" s="363"/>
      <c r="I7" s="363"/>
      <c r="J7" s="363"/>
      <c r="K7" s="363"/>
      <c r="L7" s="363"/>
      <c r="M7" s="363"/>
      <c r="N7" s="363"/>
      <c r="O7" s="363"/>
      <c r="P7" s="363"/>
      <c r="Q7" s="363"/>
      <c r="R7" s="363"/>
    </row>
    <row r="9" spans="1:33" x14ac:dyDescent="0.25">
      <c r="A9" s="410" t="s">
        <v>107</v>
      </c>
      <c r="B9" s="410" t="s">
        <v>201</v>
      </c>
      <c r="C9" s="412" t="s">
        <v>192</v>
      </c>
      <c r="D9" s="411" t="s">
        <v>197</v>
      </c>
      <c r="E9" s="411"/>
      <c r="F9" s="411"/>
      <c r="G9" s="411"/>
      <c r="H9" s="411"/>
      <c r="I9" s="413" t="s">
        <v>197</v>
      </c>
      <c r="J9" s="414"/>
      <c r="K9" s="414"/>
      <c r="L9" s="414"/>
      <c r="M9" s="414"/>
      <c r="N9" s="414"/>
      <c r="O9" s="414"/>
      <c r="P9" s="414"/>
      <c r="Q9" s="414"/>
      <c r="R9" s="415"/>
    </row>
    <row r="10" spans="1:33" x14ac:dyDescent="0.25">
      <c r="A10" s="410"/>
      <c r="B10" s="410"/>
      <c r="C10" s="412"/>
      <c r="D10" s="411" t="s">
        <v>198</v>
      </c>
      <c r="E10" s="411"/>
      <c r="F10" s="411"/>
      <c r="G10" s="411"/>
      <c r="H10" s="411"/>
      <c r="I10" s="411" t="s">
        <v>226</v>
      </c>
      <c r="J10" s="411"/>
      <c r="K10" s="411"/>
      <c r="L10" s="411"/>
      <c r="M10" s="411"/>
      <c r="N10" s="413" t="s">
        <v>227</v>
      </c>
      <c r="O10" s="414"/>
      <c r="P10" s="414"/>
      <c r="Q10" s="414"/>
      <c r="R10" s="415"/>
    </row>
    <row r="11" spans="1:33" ht="45" x14ac:dyDescent="0.25">
      <c r="A11" s="410"/>
      <c r="B11" s="410"/>
      <c r="C11" s="412"/>
      <c r="D11" s="248" t="s">
        <v>193</v>
      </c>
      <c r="E11" s="248" t="s">
        <v>194</v>
      </c>
      <c r="F11" s="248" t="s">
        <v>195</v>
      </c>
      <c r="G11" s="248" t="s">
        <v>208</v>
      </c>
      <c r="H11" s="248" t="s">
        <v>196</v>
      </c>
      <c r="I11" s="248" t="s">
        <v>193</v>
      </c>
      <c r="J11" s="248" t="s">
        <v>194</v>
      </c>
      <c r="K11" s="248" t="s">
        <v>195</v>
      </c>
      <c r="L11" s="248" t="s">
        <v>208</v>
      </c>
      <c r="M11" s="248" t="s">
        <v>196</v>
      </c>
      <c r="N11" s="251" t="s">
        <v>217</v>
      </c>
      <c r="O11" s="252" t="s">
        <v>218</v>
      </c>
      <c r="P11" s="252" t="s">
        <v>219</v>
      </c>
      <c r="Q11" s="252" t="s">
        <v>220</v>
      </c>
      <c r="R11" s="252" t="s">
        <v>223</v>
      </c>
    </row>
    <row r="12" spans="1:33" s="28" customFormat="1" x14ac:dyDescent="0.25">
      <c r="A12" s="2"/>
      <c r="B12" s="249"/>
      <c r="C12" s="2">
        <v>1</v>
      </c>
      <c r="D12" s="2">
        <v>2</v>
      </c>
      <c r="E12" s="2">
        <v>3</v>
      </c>
      <c r="F12" s="2">
        <v>4</v>
      </c>
      <c r="G12" s="2">
        <v>5</v>
      </c>
      <c r="H12" s="2" t="s">
        <v>202</v>
      </c>
      <c r="I12" s="2" t="s">
        <v>199</v>
      </c>
      <c r="J12" s="2" t="s">
        <v>232</v>
      </c>
      <c r="K12" s="2" t="s">
        <v>231</v>
      </c>
      <c r="L12" s="2" t="s">
        <v>233</v>
      </c>
      <c r="M12" s="2" t="s">
        <v>200</v>
      </c>
      <c r="N12" s="249" t="s">
        <v>221</v>
      </c>
      <c r="O12" s="249"/>
      <c r="P12" s="249"/>
      <c r="Q12" s="249"/>
      <c r="R12" s="249" t="s">
        <v>222</v>
      </c>
    </row>
    <row r="13" spans="1:33" x14ac:dyDescent="0.25">
      <c r="A13" s="245"/>
      <c r="B13" s="3"/>
      <c r="C13" s="245"/>
      <c r="D13" s="245"/>
      <c r="E13" s="245"/>
      <c r="F13" s="245"/>
      <c r="G13" s="245"/>
      <c r="H13" s="245"/>
      <c r="I13" s="245"/>
      <c r="J13" s="245"/>
      <c r="K13" s="245"/>
      <c r="L13" s="245"/>
      <c r="M13" s="245"/>
      <c r="N13" s="3"/>
      <c r="O13" s="3"/>
      <c r="P13" s="3"/>
      <c r="Q13" s="3"/>
      <c r="R13" s="3"/>
    </row>
    <row r="14" spans="1:33" x14ac:dyDescent="0.25">
      <c r="A14" s="246">
        <v>1</v>
      </c>
      <c r="B14" s="74" t="s">
        <v>203</v>
      </c>
      <c r="C14" s="18" t="s">
        <v>209</v>
      </c>
      <c r="D14" s="250">
        <v>5</v>
      </c>
      <c r="E14" s="250">
        <v>0</v>
      </c>
      <c r="F14" s="250">
        <v>15</v>
      </c>
      <c r="G14" s="250">
        <v>0</v>
      </c>
      <c r="H14" s="250">
        <f t="shared" ref="H14:H21" si="0">D14+E14+F14+G14</f>
        <v>20</v>
      </c>
      <c r="I14" s="250">
        <f>D14*1</f>
        <v>5</v>
      </c>
      <c r="J14" s="250">
        <f>E14*1.5</f>
        <v>0</v>
      </c>
      <c r="K14" s="250">
        <f>F14*0.2</f>
        <v>3</v>
      </c>
      <c r="L14" s="250">
        <f>G14*0.5</f>
        <v>0</v>
      </c>
      <c r="M14" s="250">
        <f>I14+J14+K14+L14</f>
        <v>8</v>
      </c>
      <c r="N14" s="408">
        <f>SUM(M14:M17)</f>
        <v>26.5</v>
      </c>
      <c r="O14" s="408">
        <f>4*(MAX(M14:M17))</f>
        <v>32.4</v>
      </c>
      <c r="P14" s="408">
        <f>N14/O14</f>
        <v>0.81790123456790131</v>
      </c>
      <c r="Q14" s="408">
        <f>100/(P14*100)</f>
        <v>1.2226415094339622</v>
      </c>
      <c r="R14" s="408">
        <f>N14/10%</f>
        <v>265</v>
      </c>
    </row>
    <row r="15" spans="1:33" x14ac:dyDescent="0.25">
      <c r="A15" s="246"/>
      <c r="B15" s="74"/>
      <c r="C15" s="18" t="s">
        <v>210</v>
      </c>
      <c r="D15" s="250">
        <v>4</v>
      </c>
      <c r="E15" s="250">
        <v>0</v>
      </c>
      <c r="F15" s="250">
        <v>12</v>
      </c>
      <c r="G15" s="250">
        <v>0</v>
      </c>
      <c r="H15" s="250">
        <f t="shared" si="0"/>
        <v>16</v>
      </c>
      <c r="I15" s="250">
        <f>D15*1</f>
        <v>4</v>
      </c>
      <c r="J15" s="250">
        <f t="shared" ref="J15:J21" si="1">E15*1.5</f>
        <v>0</v>
      </c>
      <c r="K15" s="250">
        <f t="shared" ref="K15:K21" si="2">F15*0.2</f>
        <v>2.4000000000000004</v>
      </c>
      <c r="L15" s="250">
        <f t="shared" ref="L15:L21" si="3">G15*0.5</f>
        <v>0</v>
      </c>
      <c r="M15" s="250">
        <f>I15+J15+K15+L15</f>
        <v>6.4</v>
      </c>
      <c r="N15" s="409"/>
      <c r="O15" s="409"/>
      <c r="P15" s="409"/>
      <c r="Q15" s="409"/>
      <c r="R15" s="409"/>
    </row>
    <row r="16" spans="1:33" x14ac:dyDescent="0.25">
      <c r="A16" s="246"/>
      <c r="B16" s="74"/>
      <c r="C16" s="18" t="s">
        <v>211</v>
      </c>
      <c r="D16" s="250">
        <v>6</v>
      </c>
      <c r="E16" s="250">
        <v>0</v>
      </c>
      <c r="F16" s="250">
        <v>8</v>
      </c>
      <c r="G16" s="250">
        <v>1</v>
      </c>
      <c r="H16" s="250">
        <f t="shared" si="0"/>
        <v>15</v>
      </c>
      <c r="I16" s="250">
        <f>D16*1</f>
        <v>6</v>
      </c>
      <c r="J16" s="250">
        <f t="shared" si="1"/>
        <v>0</v>
      </c>
      <c r="K16" s="250">
        <f t="shared" si="2"/>
        <v>1.6</v>
      </c>
      <c r="L16" s="250">
        <f t="shared" si="3"/>
        <v>0.5</v>
      </c>
      <c r="M16" s="250">
        <f>I16+J16+K16+L16</f>
        <v>8.1</v>
      </c>
      <c r="N16" s="409"/>
      <c r="O16" s="409"/>
      <c r="P16" s="409"/>
      <c r="Q16" s="409"/>
      <c r="R16" s="409"/>
    </row>
    <row r="17" spans="1:18" x14ac:dyDescent="0.25">
      <c r="A17" s="246"/>
      <c r="B17" s="74"/>
      <c r="C17" s="18" t="s">
        <v>212</v>
      </c>
      <c r="D17" s="250">
        <v>2</v>
      </c>
      <c r="E17" s="250">
        <v>0</v>
      </c>
      <c r="F17" s="250">
        <v>10</v>
      </c>
      <c r="G17" s="250">
        <v>0</v>
      </c>
      <c r="H17" s="250">
        <f t="shared" si="0"/>
        <v>12</v>
      </c>
      <c r="I17" s="250">
        <f>D17*1</f>
        <v>2</v>
      </c>
      <c r="J17" s="250">
        <f t="shared" si="1"/>
        <v>0</v>
      </c>
      <c r="K17" s="250">
        <f t="shared" si="2"/>
        <v>2</v>
      </c>
      <c r="L17" s="250">
        <f t="shared" si="3"/>
        <v>0</v>
      </c>
      <c r="M17" s="250">
        <f>I17+J17+K17+L17</f>
        <v>4</v>
      </c>
      <c r="N17" s="409"/>
      <c r="O17" s="409"/>
      <c r="P17" s="409"/>
      <c r="Q17" s="409"/>
      <c r="R17" s="409"/>
    </row>
    <row r="18" spans="1:18" x14ac:dyDescent="0.25">
      <c r="A18" s="246"/>
      <c r="B18" s="74"/>
      <c r="C18" s="246" t="s">
        <v>213</v>
      </c>
      <c r="D18" s="250">
        <v>3</v>
      </c>
      <c r="E18" s="250">
        <v>0</v>
      </c>
      <c r="F18" s="250">
        <v>17</v>
      </c>
      <c r="G18" s="250">
        <v>0</v>
      </c>
      <c r="H18" s="250">
        <f t="shared" si="0"/>
        <v>20</v>
      </c>
      <c r="I18" s="250">
        <f t="shared" ref="I18:I21" si="4">D18*1</f>
        <v>3</v>
      </c>
      <c r="J18" s="250">
        <f t="shared" si="1"/>
        <v>0</v>
      </c>
      <c r="K18" s="250">
        <f t="shared" si="2"/>
        <v>3.4000000000000004</v>
      </c>
      <c r="L18" s="250">
        <f t="shared" si="3"/>
        <v>0</v>
      </c>
      <c r="M18" s="250">
        <f t="shared" ref="M18:M21" si="5">I18+J18+K18+L18</f>
        <v>6.4</v>
      </c>
      <c r="N18" s="408">
        <f>SUM(M18:M21)</f>
        <v>28.4</v>
      </c>
      <c r="O18" s="408">
        <f>4*(MAX(M18:M21))</f>
        <v>40</v>
      </c>
      <c r="P18" s="74"/>
      <c r="Q18" s="74"/>
      <c r="R18" s="408">
        <f>N18/10%</f>
        <v>283.99999999999994</v>
      </c>
    </row>
    <row r="19" spans="1:18" x14ac:dyDescent="0.25">
      <c r="A19" s="246"/>
      <c r="B19" s="74"/>
      <c r="C19" s="246" t="s">
        <v>214</v>
      </c>
      <c r="D19" s="250">
        <v>7</v>
      </c>
      <c r="E19" s="250">
        <v>0</v>
      </c>
      <c r="F19" s="250">
        <v>15</v>
      </c>
      <c r="G19" s="250">
        <v>0</v>
      </c>
      <c r="H19" s="250">
        <f t="shared" si="0"/>
        <v>22</v>
      </c>
      <c r="I19" s="250">
        <f t="shared" ref="I19:I20" si="6">D19*1</f>
        <v>7</v>
      </c>
      <c r="J19" s="250">
        <f t="shared" si="1"/>
        <v>0</v>
      </c>
      <c r="K19" s="250">
        <f t="shared" si="2"/>
        <v>3</v>
      </c>
      <c r="L19" s="250">
        <f t="shared" si="3"/>
        <v>0</v>
      </c>
      <c r="M19" s="250">
        <f t="shared" ref="M19:M20" si="7">I19+J19+K19+L19</f>
        <v>10</v>
      </c>
      <c r="N19" s="409"/>
      <c r="O19" s="409"/>
      <c r="P19" s="74"/>
      <c r="Q19" s="74"/>
      <c r="R19" s="409"/>
    </row>
    <row r="20" spans="1:18" x14ac:dyDescent="0.25">
      <c r="A20" s="246"/>
      <c r="B20" s="74"/>
      <c r="C20" s="246" t="s">
        <v>215</v>
      </c>
      <c r="D20" s="250">
        <v>5</v>
      </c>
      <c r="E20" s="250">
        <v>0</v>
      </c>
      <c r="F20" s="250">
        <v>9</v>
      </c>
      <c r="G20" s="250">
        <v>0</v>
      </c>
      <c r="H20" s="250">
        <f t="shared" si="0"/>
        <v>14</v>
      </c>
      <c r="I20" s="250">
        <f t="shared" si="6"/>
        <v>5</v>
      </c>
      <c r="J20" s="250">
        <f t="shared" si="1"/>
        <v>0</v>
      </c>
      <c r="K20" s="250">
        <f t="shared" si="2"/>
        <v>1.8</v>
      </c>
      <c r="L20" s="250">
        <f t="shared" si="3"/>
        <v>0</v>
      </c>
      <c r="M20" s="250">
        <f t="shared" si="7"/>
        <v>6.8</v>
      </c>
      <c r="N20" s="409"/>
      <c r="O20" s="409"/>
      <c r="P20" s="74"/>
      <c r="Q20" s="74"/>
      <c r="R20" s="409"/>
    </row>
    <row r="21" spans="1:18" x14ac:dyDescent="0.25">
      <c r="A21" s="246"/>
      <c r="B21" s="74"/>
      <c r="C21" s="246" t="s">
        <v>216</v>
      </c>
      <c r="D21" s="250">
        <v>3</v>
      </c>
      <c r="E21" s="250">
        <v>0</v>
      </c>
      <c r="F21" s="250">
        <v>11</v>
      </c>
      <c r="G21" s="250">
        <v>0</v>
      </c>
      <c r="H21" s="250">
        <f t="shared" si="0"/>
        <v>14</v>
      </c>
      <c r="I21" s="250">
        <f t="shared" si="4"/>
        <v>3</v>
      </c>
      <c r="J21" s="250">
        <f t="shared" si="1"/>
        <v>0</v>
      </c>
      <c r="K21" s="250">
        <f t="shared" si="2"/>
        <v>2.2000000000000002</v>
      </c>
      <c r="L21" s="250">
        <f t="shared" si="3"/>
        <v>0</v>
      </c>
      <c r="M21" s="250">
        <f t="shared" si="5"/>
        <v>5.2</v>
      </c>
      <c r="N21" s="409"/>
      <c r="O21" s="409"/>
      <c r="P21" s="74"/>
      <c r="Q21" s="74"/>
      <c r="R21" s="409"/>
    </row>
    <row r="22" spans="1:18" x14ac:dyDescent="0.25">
      <c r="A22" s="247"/>
      <c r="B22" s="104"/>
      <c r="C22" s="247"/>
      <c r="D22" s="247"/>
      <c r="E22" s="247"/>
      <c r="F22" s="247"/>
      <c r="G22" s="247"/>
      <c r="H22" s="247"/>
      <c r="I22" s="247"/>
      <c r="J22" s="247"/>
      <c r="K22" s="247"/>
      <c r="L22" s="247"/>
      <c r="M22" s="247"/>
      <c r="N22" s="104"/>
      <c r="O22" s="104"/>
      <c r="P22" s="104"/>
      <c r="Q22" s="104"/>
      <c r="R22" s="104"/>
    </row>
    <row r="23" spans="1:18" x14ac:dyDescent="0.25">
      <c r="A23" s="245"/>
      <c r="B23" s="3"/>
      <c r="C23" s="245"/>
      <c r="D23" s="245"/>
      <c r="E23" s="245"/>
      <c r="F23" s="245"/>
      <c r="G23" s="245"/>
      <c r="H23" s="245"/>
      <c r="I23" s="245"/>
      <c r="J23" s="245"/>
      <c r="K23" s="245"/>
      <c r="L23" s="245"/>
      <c r="M23" s="245"/>
      <c r="N23" s="3"/>
      <c r="O23" s="3"/>
      <c r="P23" s="3"/>
      <c r="Q23" s="3"/>
      <c r="R23" s="3"/>
    </row>
    <row r="24" spans="1:18" x14ac:dyDescent="0.25">
      <c r="A24" s="246">
        <v>2</v>
      </c>
      <c r="B24" s="74" t="s">
        <v>228</v>
      </c>
      <c r="C24" s="18" t="s">
        <v>209</v>
      </c>
      <c r="D24" s="250">
        <v>2</v>
      </c>
      <c r="E24" s="250">
        <v>0</v>
      </c>
      <c r="F24" s="250">
        <v>22</v>
      </c>
      <c r="G24" s="250">
        <v>4</v>
      </c>
      <c r="H24" s="250">
        <f>D24+E24+F24+G24</f>
        <v>28</v>
      </c>
      <c r="I24" s="250">
        <f>D24*1</f>
        <v>2</v>
      </c>
      <c r="J24" s="250">
        <f t="shared" ref="J24:J31" si="8">E24*1.5</f>
        <v>0</v>
      </c>
      <c r="K24" s="250">
        <f t="shared" ref="K24:K31" si="9">F24*0.2</f>
        <v>4.4000000000000004</v>
      </c>
      <c r="L24" s="250">
        <f t="shared" ref="L24:L31" si="10">G24*0.5</f>
        <v>2</v>
      </c>
      <c r="M24" s="250">
        <f>I24+J24+K24+L24</f>
        <v>8.4</v>
      </c>
      <c r="N24" s="408">
        <f>SUM(M24:M27)</f>
        <v>26.300000000000004</v>
      </c>
      <c r="O24" s="408">
        <f>4*(MAX(M24:M27))</f>
        <v>33.6</v>
      </c>
      <c r="P24" s="408">
        <f>N24/O24</f>
        <v>0.78273809523809534</v>
      </c>
      <c r="Q24" s="408">
        <f>100/(P24*100)</f>
        <v>1.2775665399239542</v>
      </c>
      <c r="R24" s="408">
        <f>N24/10%</f>
        <v>263</v>
      </c>
    </row>
    <row r="25" spans="1:18" x14ac:dyDescent="0.25">
      <c r="A25" s="246"/>
      <c r="B25" s="74"/>
      <c r="C25" s="18" t="s">
        <v>210</v>
      </c>
      <c r="D25" s="250">
        <v>1</v>
      </c>
      <c r="E25" s="250">
        <v>0</v>
      </c>
      <c r="F25" s="250">
        <v>19</v>
      </c>
      <c r="G25" s="250">
        <v>0</v>
      </c>
      <c r="H25" s="250">
        <f t="shared" ref="H25:H31" si="11">D25+E25+F25+G25</f>
        <v>20</v>
      </c>
      <c r="I25" s="250">
        <f>D25*1</f>
        <v>1</v>
      </c>
      <c r="J25" s="250">
        <f t="shared" si="8"/>
        <v>0</v>
      </c>
      <c r="K25" s="250">
        <f t="shared" si="9"/>
        <v>3.8000000000000003</v>
      </c>
      <c r="L25" s="250">
        <f t="shared" si="10"/>
        <v>0</v>
      </c>
      <c r="M25" s="250">
        <f>I25+J25+K25+L25</f>
        <v>4.8000000000000007</v>
      </c>
      <c r="N25" s="409"/>
      <c r="O25" s="409"/>
      <c r="P25" s="409"/>
      <c r="Q25" s="409"/>
      <c r="R25" s="409"/>
    </row>
    <row r="26" spans="1:18" x14ac:dyDescent="0.25">
      <c r="A26" s="246"/>
      <c r="B26" s="74"/>
      <c r="C26" s="18" t="s">
        <v>211</v>
      </c>
      <c r="D26" s="250">
        <v>3</v>
      </c>
      <c r="E26" s="250">
        <v>0</v>
      </c>
      <c r="F26" s="250">
        <v>15</v>
      </c>
      <c r="G26" s="250">
        <v>0</v>
      </c>
      <c r="H26" s="250">
        <f t="shared" si="11"/>
        <v>18</v>
      </c>
      <c r="I26" s="250">
        <f>D26*1</f>
        <v>3</v>
      </c>
      <c r="J26" s="250">
        <f t="shared" si="8"/>
        <v>0</v>
      </c>
      <c r="K26" s="250">
        <f t="shared" si="9"/>
        <v>3</v>
      </c>
      <c r="L26" s="250">
        <f t="shared" si="10"/>
        <v>0</v>
      </c>
      <c r="M26" s="250">
        <f>I26+J26+K26+L26</f>
        <v>6</v>
      </c>
      <c r="N26" s="409"/>
      <c r="O26" s="409"/>
      <c r="P26" s="409"/>
      <c r="Q26" s="409"/>
      <c r="R26" s="409"/>
    </row>
    <row r="27" spans="1:18" x14ac:dyDescent="0.25">
      <c r="A27" s="246"/>
      <c r="B27" s="74"/>
      <c r="C27" s="18" t="s">
        <v>212</v>
      </c>
      <c r="D27" s="250">
        <v>4</v>
      </c>
      <c r="E27" s="250">
        <v>0</v>
      </c>
      <c r="F27" s="250">
        <v>8</v>
      </c>
      <c r="G27" s="250">
        <v>3</v>
      </c>
      <c r="H27" s="250">
        <f t="shared" si="11"/>
        <v>15</v>
      </c>
      <c r="I27" s="250">
        <f>D27*1</f>
        <v>4</v>
      </c>
      <c r="J27" s="250">
        <f t="shared" si="8"/>
        <v>0</v>
      </c>
      <c r="K27" s="250">
        <f t="shared" si="9"/>
        <v>1.6</v>
      </c>
      <c r="L27" s="250">
        <f t="shared" si="10"/>
        <v>1.5</v>
      </c>
      <c r="M27" s="250">
        <f>I27+J27+K27+L27</f>
        <v>7.1</v>
      </c>
      <c r="N27" s="409"/>
      <c r="O27" s="409"/>
      <c r="P27" s="409"/>
      <c r="Q27" s="409"/>
      <c r="R27" s="409"/>
    </row>
    <row r="28" spans="1:18" x14ac:dyDescent="0.25">
      <c r="A28" s="246"/>
      <c r="B28" s="74"/>
      <c r="C28" s="246" t="s">
        <v>213</v>
      </c>
      <c r="D28" s="250">
        <v>2</v>
      </c>
      <c r="E28" s="250">
        <v>0</v>
      </c>
      <c r="F28" s="250">
        <v>13</v>
      </c>
      <c r="G28" s="250">
        <v>0</v>
      </c>
      <c r="H28" s="250">
        <f t="shared" si="11"/>
        <v>15</v>
      </c>
      <c r="I28" s="250">
        <f t="shared" ref="I28:I31" si="12">D28*1</f>
        <v>2</v>
      </c>
      <c r="J28" s="250">
        <f t="shared" si="8"/>
        <v>0</v>
      </c>
      <c r="K28" s="250">
        <f t="shared" si="9"/>
        <v>2.6</v>
      </c>
      <c r="L28" s="250">
        <f t="shared" si="10"/>
        <v>0</v>
      </c>
      <c r="M28" s="250">
        <f t="shared" ref="M28:M31" si="13">I28+J28+K28+L28</f>
        <v>4.5999999999999996</v>
      </c>
      <c r="N28" s="408">
        <f>SUM(M28:M31)</f>
        <v>21.599999999999998</v>
      </c>
      <c r="O28" s="408">
        <f>4*(MAX(M28:M31))</f>
        <v>40.4</v>
      </c>
      <c r="P28" s="74"/>
      <c r="Q28" s="74"/>
      <c r="R28" s="408">
        <f>N28/10%</f>
        <v>215.99999999999997</v>
      </c>
    </row>
    <row r="29" spans="1:18" x14ac:dyDescent="0.25">
      <c r="A29" s="246"/>
      <c r="B29" s="74"/>
      <c r="C29" s="246" t="s">
        <v>214</v>
      </c>
      <c r="D29" s="250">
        <v>5</v>
      </c>
      <c r="E29" s="250">
        <v>0</v>
      </c>
      <c r="F29" s="250">
        <v>18</v>
      </c>
      <c r="G29" s="250">
        <v>3</v>
      </c>
      <c r="H29" s="250">
        <f t="shared" si="11"/>
        <v>26</v>
      </c>
      <c r="I29" s="250">
        <f t="shared" si="12"/>
        <v>5</v>
      </c>
      <c r="J29" s="250">
        <f t="shared" si="8"/>
        <v>0</v>
      </c>
      <c r="K29" s="250">
        <f t="shared" si="9"/>
        <v>3.6</v>
      </c>
      <c r="L29" s="250">
        <f t="shared" si="10"/>
        <v>1.5</v>
      </c>
      <c r="M29" s="250">
        <f t="shared" si="13"/>
        <v>10.1</v>
      </c>
      <c r="N29" s="409"/>
      <c r="O29" s="409"/>
      <c r="P29" s="74"/>
      <c r="Q29" s="74"/>
      <c r="R29" s="409"/>
    </row>
    <row r="30" spans="1:18" x14ac:dyDescent="0.25">
      <c r="A30" s="246"/>
      <c r="B30" s="74"/>
      <c r="C30" s="246" t="s">
        <v>215</v>
      </c>
      <c r="D30" s="250">
        <v>2</v>
      </c>
      <c r="E30" s="250">
        <v>0</v>
      </c>
      <c r="F30" s="250">
        <v>11</v>
      </c>
      <c r="G30" s="250">
        <v>3</v>
      </c>
      <c r="H30" s="250">
        <f t="shared" si="11"/>
        <v>16</v>
      </c>
      <c r="I30" s="250">
        <f t="shared" si="12"/>
        <v>2</v>
      </c>
      <c r="J30" s="250">
        <f t="shared" si="8"/>
        <v>0</v>
      </c>
      <c r="K30" s="250">
        <f t="shared" si="9"/>
        <v>2.2000000000000002</v>
      </c>
      <c r="L30" s="250">
        <f t="shared" si="10"/>
        <v>1.5</v>
      </c>
      <c r="M30" s="250">
        <f t="shared" si="13"/>
        <v>5.7</v>
      </c>
      <c r="N30" s="409"/>
      <c r="O30" s="409"/>
      <c r="P30" s="74"/>
      <c r="Q30" s="74"/>
      <c r="R30" s="409"/>
    </row>
    <row r="31" spans="1:18" x14ac:dyDescent="0.25">
      <c r="A31" s="246"/>
      <c r="B31" s="74"/>
      <c r="C31" s="246" t="s">
        <v>216</v>
      </c>
      <c r="D31" s="250">
        <v>0</v>
      </c>
      <c r="E31" s="250"/>
      <c r="F31" s="250">
        <v>6</v>
      </c>
      <c r="G31" s="250">
        <v>0</v>
      </c>
      <c r="H31" s="250">
        <f t="shared" si="11"/>
        <v>6</v>
      </c>
      <c r="I31" s="250">
        <f t="shared" si="12"/>
        <v>0</v>
      </c>
      <c r="J31" s="250">
        <f t="shared" si="8"/>
        <v>0</v>
      </c>
      <c r="K31" s="250">
        <f t="shared" si="9"/>
        <v>1.2000000000000002</v>
      </c>
      <c r="L31" s="250">
        <f t="shared" si="10"/>
        <v>0</v>
      </c>
      <c r="M31" s="250">
        <f t="shared" si="13"/>
        <v>1.2000000000000002</v>
      </c>
      <c r="N31" s="409"/>
      <c r="O31" s="409"/>
      <c r="P31" s="74"/>
      <c r="Q31" s="74"/>
      <c r="R31" s="409"/>
    </row>
    <row r="32" spans="1:18" x14ac:dyDescent="0.25">
      <c r="A32" s="247"/>
      <c r="B32" s="104"/>
      <c r="C32" s="247"/>
      <c r="D32" s="247"/>
      <c r="E32" s="247"/>
      <c r="F32" s="247"/>
      <c r="G32" s="247"/>
      <c r="H32" s="247"/>
      <c r="I32" s="247"/>
      <c r="J32" s="247"/>
      <c r="K32" s="247"/>
      <c r="L32" s="247"/>
      <c r="M32" s="247"/>
      <c r="N32" s="104"/>
      <c r="O32" s="104"/>
      <c r="P32" s="104"/>
      <c r="Q32" s="104"/>
      <c r="R32" s="104"/>
    </row>
    <row r="33" spans="1:18" x14ac:dyDescent="0.25">
      <c r="A33" s="245"/>
      <c r="B33" s="3"/>
      <c r="C33" s="245"/>
      <c r="D33" s="245"/>
      <c r="E33" s="245"/>
      <c r="F33" s="245"/>
      <c r="G33" s="245"/>
      <c r="H33" s="245"/>
      <c r="I33" s="245"/>
      <c r="J33" s="245"/>
      <c r="K33" s="245"/>
      <c r="L33" s="245"/>
      <c r="M33" s="245"/>
      <c r="N33" s="3"/>
      <c r="O33" s="3"/>
      <c r="P33" s="3"/>
      <c r="Q33" s="3"/>
      <c r="R33" s="3"/>
    </row>
    <row r="34" spans="1:18" x14ac:dyDescent="0.25">
      <c r="A34" s="246">
        <v>3</v>
      </c>
      <c r="B34" s="74" t="s">
        <v>204</v>
      </c>
      <c r="C34" s="18" t="s">
        <v>209</v>
      </c>
      <c r="D34" s="250">
        <v>18</v>
      </c>
      <c r="E34" s="250">
        <v>3</v>
      </c>
      <c r="F34" s="250">
        <v>33</v>
      </c>
      <c r="G34" s="250">
        <v>6</v>
      </c>
      <c r="H34" s="250">
        <f>D34+E34+F34+G34</f>
        <v>60</v>
      </c>
      <c r="I34" s="250">
        <f>D34*1</f>
        <v>18</v>
      </c>
      <c r="J34" s="250">
        <f t="shared" ref="J34:J41" si="14">E34*1.5</f>
        <v>4.5</v>
      </c>
      <c r="K34" s="250">
        <f t="shared" ref="K34:K41" si="15">F34*0.2</f>
        <v>6.6000000000000005</v>
      </c>
      <c r="L34" s="250">
        <f t="shared" ref="L34:L41" si="16">G34*0.5</f>
        <v>3</v>
      </c>
      <c r="M34" s="250">
        <f>I34+J34+K34+L34</f>
        <v>32.1</v>
      </c>
      <c r="N34" s="408">
        <f>SUM(M34:M37)</f>
        <v>113.39999999999999</v>
      </c>
      <c r="O34" s="408">
        <f>4*(MAX(M34:M37))</f>
        <v>128.4</v>
      </c>
      <c r="P34" s="408">
        <f>N34/O34</f>
        <v>0.88317757009345788</v>
      </c>
      <c r="Q34" s="408">
        <f>100/(P34*100)</f>
        <v>1.1322751322751323</v>
      </c>
      <c r="R34" s="408">
        <f>N34/10%</f>
        <v>1133.9999999999998</v>
      </c>
    </row>
    <row r="35" spans="1:18" x14ac:dyDescent="0.25">
      <c r="A35" s="246"/>
      <c r="B35" s="74"/>
      <c r="C35" s="18" t="s">
        <v>210</v>
      </c>
      <c r="D35" s="250">
        <v>17</v>
      </c>
      <c r="E35" s="250">
        <v>3</v>
      </c>
      <c r="F35" s="250">
        <v>28</v>
      </c>
      <c r="G35" s="250">
        <v>0</v>
      </c>
      <c r="H35" s="250">
        <f t="shared" ref="H35:H41" si="17">D35+E35+F35+G35</f>
        <v>48</v>
      </c>
      <c r="I35" s="250">
        <f>D35*1</f>
        <v>17</v>
      </c>
      <c r="J35" s="250">
        <f t="shared" si="14"/>
        <v>4.5</v>
      </c>
      <c r="K35" s="250">
        <f t="shared" si="15"/>
        <v>5.6000000000000005</v>
      </c>
      <c r="L35" s="250">
        <f t="shared" si="16"/>
        <v>0</v>
      </c>
      <c r="M35" s="250">
        <f>I35+J35+K35+L35</f>
        <v>27.1</v>
      </c>
      <c r="N35" s="409"/>
      <c r="O35" s="409"/>
      <c r="P35" s="409"/>
      <c r="Q35" s="409"/>
      <c r="R35" s="409"/>
    </row>
    <row r="36" spans="1:18" x14ac:dyDescent="0.25">
      <c r="A36" s="246"/>
      <c r="B36" s="74"/>
      <c r="C36" s="18" t="s">
        <v>211</v>
      </c>
      <c r="D36" s="250">
        <v>20</v>
      </c>
      <c r="E36" s="250">
        <v>2</v>
      </c>
      <c r="F36" s="250">
        <v>22</v>
      </c>
      <c r="G36" s="250">
        <v>2</v>
      </c>
      <c r="H36" s="250">
        <f t="shared" si="17"/>
        <v>46</v>
      </c>
      <c r="I36" s="250">
        <f>D36*1</f>
        <v>20</v>
      </c>
      <c r="J36" s="250">
        <f t="shared" si="14"/>
        <v>3</v>
      </c>
      <c r="K36" s="250">
        <f t="shared" si="15"/>
        <v>4.4000000000000004</v>
      </c>
      <c r="L36" s="250">
        <f t="shared" si="16"/>
        <v>1</v>
      </c>
      <c r="M36" s="250">
        <f>I36+J36+K36+L36</f>
        <v>28.4</v>
      </c>
      <c r="N36" s="409"/>
      <c r="O36" s="409"/>
      <c r="P36" s="409"/>
      <c r="Q36" s="409"/>
      <c r="R36" s="409"/>
    </row>
    <row r="37" spans="1:18" x14ac:dyDescent="0.25">
      <c r="A37" s="246"/>
      <c r="B37" s="74"/>
      <c r="C37" s="18" t="s">
        <v>212</v>
      </c>
      <c r="D37" s="250">
        <v>16</v>
      </c>
      <c r="E37" s="250">
        <v>2</v>
      </c>
      <c r="F37" s="250">
        <v>24</v>
      </c>
      <c r="G37" s="250">
        <v>4</v>
      </c>
      <c r="H37" s="250">
        <f t="shared" si="17"/>
        <v>46</v>
      </c>
      <c r="I37" s="250">
        <f>D37*1</f>
        <v>16</v>
      </c>
      <c r="J37" s="250">
        <f t="shared" si="14"/>
        <v>3</v>
      </c>
      <c r="K37" s="250">
        <f t="shared" si="15"/>
        <v>4.8000000000000007</v>
      </c>
      <c r="L37" s="250">
        <f t="shared" si="16"/>
        <v>2</v>
      </c>
      <c r="M37" s="250">
        <f>I37+J37+K37+L37</f>
        <v>25.8</v>
      </c>
      <c r="N37" s="409"/>
      <c r="O37" s="409"/>
      <c r="P37" s="409"/>
      <c r="Q37" s="409"/>
      <c r="R37" s="409"/>
    </row>
    <row r="38" spans="1:18" x14ac:dyDescent="0.25">
      <c r="A38" s="246"/>
      <c r="B38" s="74"/>
      <c r="C38" s="246" t="s">
        <v>213</v>
      </c>
      <c r="D38" s="250">
        <v>21</v>
      </c>
      <c r="E38" s="250">
        <v>4</v>
      </c>
      <c r="F38" s="250">
        <v>26</v>
      </c>
      <c r="G38" s="250">
        <v>0</v>
      </c>
      <c r="H38" s="250">
        <f t="shared" si="17"/>
        <v>51</v>
      </c>
      <c r="I38" s="250">
        <f t="shared" ref="I38:I41" si="18">D38*1</f>
        <v>21</v>
      </c>
      <c r="J38" s="250">
        <f t="shared" si="14"/>
        <v>6</v>
      </c>
      <c r="K38" s="250">
        <f t="shared" si="15"/>
        <v>5.2</v>
      </c>
      <c r="L38" s="250">
        <f t="shared" si="16"/>
        <v>0</v>
      </c>
      <c r="M38" s="250">
        <f t="shared" ref="M38:M41" si="19">I38+J38+K38+L38</f>
        <v>32.200000000000003</v>
      </c>
      <c r="N38" s="408">
        <f>SUM(M38:M41)</f>
        <v>107.60000000000001</v>
      </c>
      <c r="O38" s="408">
        <f>4*(MAX(M38:M41))</f>
        <v>128.80000000000001</v>
      </c>
      <c r="P38" s="74"/>
      <c r="Q38" s="74"/>
      <c r="R38" s="408">
        <f>N38/10%</f>
        <v>1076</v>
      </c>
    </row>
    <row r="39" spans="1:18" x14ac:dyDescent="0.25">
      <c r="A39" s="246"/>
      <c r="B39" s="74"/>
      <c r="C39" s="246" t="s">
        <v>214</v>
      </c>
      <c r="D39" s="250">
        <v>15</v>
      </c>
      <c r="E39" s="250">
        <v>3</v>
      </c>
      <c r="F39" s="250">
        <v>41</v>
      </c>
      <c r="G39" s="250">
        <v>0</v>
      </c>
      <c r="H39" s="250">
        <f t="shared" si="17"/>
        <v>59</v>
      </c>
      <c r="I39" s="250">
        <f t="shared" si="18"/>
        <v>15</v>
      </c>
      <c r="J39" s="250">
        <f t="shared" si="14"/>
        <v>4.5</v>
      </c>
      <c r="K39" s="250">
        <f t="shared" si="15"/>
        <v>8.2000000000000011</v>
      </c>
      <c r="L39" s="250">
        <f t="shared" si="16"/>
        <v>0</v>
      </c>
      <c r="M39" s="250">
        <f t="shared" si="19"/>
        <v>27.700000000000003</v>
      </c>
      <c r="N39" s="409"/>
      <c r="O39" s="409"/>
      <c r="P39" s="74"/>
      <c r="Q39" s="74"/>
      <c r="R39" s="409"/>
    </row>
    <row r="40" spans="1:18" x14ac:dyDescent="0.25">
      <c r="A40" s="246"/>
      <c r="B40" s="74"/>
      <c r="C40" s="246" t="s">
        <v>215</v>
      </c>
      <c r="D40" s="250">
        <v>13</v>
      </c>
      <c r="E40" s="250">
        <v>2</v>
      </c>
      <c r="F40" s="250">
        <v>36</v>
      </c>
      <c r="G40" s="250">
        <v>8</v>
      </c>
      <c r="H40" s="250">
        <f t="shared" si="17"/>
        <v>59</v>
      </c>
      <c r="I40" s="250">
        <f t="shared" si="18"/>
        <v>13</v>
      </c>
      <c r="J40" s="250">
        <f t="shared" si="14"/>
        <v>3</v>
      </c>
      <c r="K40" s="250">
        <f t="shared" si="15"/>
        <v>7.2</v>
      </c>
      <c r="L40" s="250">
        <f t="shared" si="16"/>
        <v>4</v>
      </c>
      <c r="M40" s="250">
        <f t="shared" si="19"/>
        <v>27.2</v>
      </c>
      <c r="N40" s="409"/>
      <c r="O40" s="409"/>
      <c r="P40" s="74"/>
      <c r="Q40" s="74"/>
      <c r="R40" s="409"/>
    </row>
    <row r="41" spans="1:18" x14ac:dyDescent="0.25">
      <c r="A41" s="246"/>
      <c r="B41" s="74"/>
      <c r="C41" s="246" t="s">
        <v>216</v>
      </c>
      <c r="D41" s="250">
        <v>11</v>
      </c>
      <c r="E41" s="250">
        <v>0</v>
      </c>
      <c r="F41" s="250">
        <v>20</v>
      </c>
      <c r="G41" s="250">
        <v>11</v>
      </c>
      <c r="H41" s="250">
        <f t="shared" si="17"/>
        <v>42</v>
      </c>
      <c r="I41" s="250">
        <f t="shared" si="18"/>
        <v>11</v>
      </c>
      <c r="J41" s="250">
        <f t="shared" si="14"/>
        <v>0</v>
      </c>
      <c r="K41" s="250">
        <f t="shared" si="15"/>
        <v>4</v>
      </c>
      <c r="L41" s="250">
        <f t="shared" si="16"/>
        <v>5.5</v>
      </c>
      <c r="M41" s="250">
        <f t="shared" si="19"/>
        <v>20.5</v>
      </c>
      <c r="N41" s="409"/>
      <c r="O41" s="409"/>
      <c r="P41" s="74"/>
      <c r="Q41" s="74"/>
      <c r="R41" s="409"/>
    </row>
    <row r="42" spans="1:18" x14ac:dyDescent="0.25">
      <c r="A42" s="247"/>
      <c r="B42" s="104"/>
      <c r="C42" s="247"/>
      <c r="D42" s="247"/>
      <c r="E42" s="247"/>
      <c r="F42" s="247"/>
      <c r="G42" s="247"/>
      <c r="H42" s="247"/>
      <c r="I42" s="247"/>
      <c r="J42" s="247"/>
      <c r="K42" s="247"/>
      <c r="L42" s="247"/>
      <c r="M42" s="247"/>
      <c r="N42" s="104"/>
      <c r="O42" s="104"/>
      <c r="P42" s="104"/>
      <c r="Q42" s="104"/>
      <c r="R42" s="104"/>
    </row>
    <row r="43" spans="1:18" x14ac:dyDescent="0.25">
      <c r="A43" s="410" t="s">
        <v>107</v>
      </c>
      <c r="B43" s="410" t="s">
        <v>201</v>
      </c>
      <c r="C43" s="412" t="s">
        <v>192</v>
      </c>
      <c r="D43" s="411" t="s">
        <v>197</v>
      </c>
      <c r="E43" s="411"/>
      <c r="F43" s="411"/>
      <c r="G43" s="411"/>
      <c r="H43" s="411"/>
      <c r="I43" s="413" t="s">
        <v>197</v>
      </c>
      <c r="J43" s="414"/>
      <c r="K43" s="414"/>
      <c r="L43" s="414"/>
      <c r="M43" s="414"/>
      <c r="N43" s="414"/>
      <c r="O43" s="414"/>
      <c r="P43" s="414"/>
      <c r="Q43" s="414"/>
      <c r="R43" s="415"/>
    </row>
    <row r="44" spans="1:18" x14ac:dyDescent="0.25">
      <c r="A44" s="410"/>
      <c r="B44" s="410"/>
      <c r="C44" s="412"/>
      <c r="D44" s="411" t="s">
        <v>198</v>
      </c>
      <c r="E44" s="411"/>
      <c r="F44" s="411"/>
      <c r="G44" s="411"/>
      <c r="H44" s="411"/>
      <c r="I44" s="411" t="s">
        <v>226</v>
      </c>
      <c r="J44" s="411"/>
      <c r="K44" s="411"/>
      <c r="L44" s="411"/>
      <c r="M44" s="411"/>
      <c r="N44" s="413" t="s">
        <v>227</v>
      </c>
      <c r="O44" s="414"/>
      <c r="P44" s="414"/>
      <c r="Q44" s="414"/>
      <c r="R44" s="415"/>
    </row>
    <row r="45" spans="1:18" ht="45" x14ac:dyDescent="0.25">
      <c r="A45" s="410"/>
      <c r="B45" s="410"/>
      <c r="C45" s="412"/>
      <c r="D45" s="294" t="s">
        <v>193</v>
      </c>
      <c r="E45" s="294" t="s">
        <v>194</v>
      </c>
      <c r="F45" s="294" t="s">
        <v>195</v>
      </c>
      <c r="G45" s="294" t="s">
        <v>208</v>
      </c>
      <c r="H45" s="294" t="s">
        <v>196</v>
      </c>
      <c r="I45" s="294" t="s">
        <v>193</v>
      </c>
      <c r="J45" s="294" t="s">
        <v>194</v>
      </c>
      <c r="K45" s="294" t="s">
        <v>195</v>
      </c>
      <c r="L45" s="294" t="s">
        <v>208</v>
      </c>
      <c r="M45" s="294" t="s">
        <v>196</v>
      </c>
      <c r="N45" s="251" t="s">
        <v>217</v>
      </c>
      <c r="O45" s="252" t="s">
        <v>218</v>
      </c>
      <c r="P45" s="252" t="s">
        <v>219</v>
      </c>
      <c r="Q45" s="252" t="s">
        <v>220</v>
      </c>
      <c r="R45" s="252" t="s">
        <v>223</v>
      </c>
    </row>
    <row r="46" spans="1:18" s="28" customFormat="1" x14ac:dyDescent="0.25">
      <c r="A46" s="295"/>
      <c r="B46" s="249"/>
      <c r="C46" s="295">
        <v>1</v>
      </c>
      <c r="D46" s="295">
        <v>2</v>
      </c>
      <c r="E46" s="295">
        <v>3</v>
      </c>
      <c r="F46" s="295">
        <v>4</v>
      </c>
      <c r="G46" s="295">
        <v>5</v>
      </c>
      <c r="H46" s="295" t="s">
        <v>202</v>
      </c>
      <c r="I46" s="295" t="s">
        <v>199</v>
      </c>
      <c r="J46" s="295" t="s">
        <v>232</v>
      </c>
      <c r="K46" s="295" t="s">
        <v>231</v>
      </c>
      <c r="L46" s="295" t="s">
        <v>233</v>
      </c>
      <c r="M46" s="295" t="s">
        <v>200</v>
      </c>
      <c r="N46" s="249" t="s">
        <v>221</v>
      </c>
      <c r="O46" s="249"/>
      <c r="P46" s="249"/>
      <c r="Q46" s="249"/>
      <c r="R46" s="249" t="s">
        <v>222</v>
      </c>
    </row>
    <row r="47" spans="1:18" x14ac:dyDescent="0.25">
      <c r="A47" s="245"/>
      <c r="B47" s="3"/>
      <c r="C47" s="245"/>
      <c r="D47" s="245"/>
      <c r="E47" s="245"/>
      <c r="F47" s="245"/>
      <c r="G47" s="245"/>
      <c r="H47" s="245"/>
      <c r="I47" s="245"/>
      <c r="J47" s="245"/>
      <c r="K47" s="245"/>
      <c r="L47" s="245"/>
      <c r="M47" s="245"/>
      <c r="N47" s="3"/>
      <c r="O47" s="3"/>
      <c r="P47" s="3"/>
      <c r="Q47" s="3"/>
      <c r="R47" s="3"/>
    </row>
    <row r="48" spans="1:18" x14ac:dyDescent="0.25">
      <c r="A48" s="246">
        <v>4</v>
      </c>
      <c r="B48" s="74" t="s">
        <v>205</v>
      </c>
      <c r="C48" s="18" t="s">
        <v>209</v>
      </c>
      <c r="D48" s="250">
        <v>5</v>
      </c>
      <c r="E48" s="250">
        <v>0</v>
      </c>
      <c r="F48" s="250">
        <v>18</v>
      </c>
      <c r="G48" s="250">
        <v>0</v>
      </c>
      <c r="H48" s="250">
        <f>D48+E48+F48+G48</f>
        <v>23</v>
      </c>
      <c r="I48" s="250">
        <f>D48*1</f>
        <v>5</v>
      </c>
      <c r="J48" s="250">
        <f t="shared" ref="J48:J55" si="20">E48*1.5</f>
        <v>0</v>
      </c>
      <c r="K48" s="250">
        <f t="shared" ref="K48:K55" si="21">F48*0.2</f>
        <v>3.6</v>
      </c>
      <c r="L48" s="250">
        <f t="shared" ref="L48:L55" si="22">G48*0.5</f>
        <v>0</v>
      </c>
      <c r="M48" s="250">
        <f>I48+J48+K48+L48</f>
        <v>8.6</v>
      </c>
      <c r="N48" s="408">
        <f>SUM(M48:M51)</f>
        <v>30.999999999999996</v>
      </c>
      <c r="O48" s="408">
        <f>4*(MAX(M48:M51))</f>
        <v>44.8</v>
      </c>
      <c r="P48" s="408">
        <f>N48/O48</f>
        <v>0.6919642857142857</v>
      </c>
      <c r="Q48" s="408">
        <f>100/(P48*100)</f>
        <v>1.4451612903225808</v>
      </c>
      <c r="R48" s="408">
        <f>N48/10%</f>
        <v>309.99999999999994</v>
      </c>
    </row>
    <row r="49" spans="1:18" x14ac:dyDescent="0.25">
      <c r="A49" s="246"/>
      <c r="B49" s="74"/>
      <c r="C49" s="18" t="s">
        <v>210</v>
      </c>
      <c r="D49" s="250">
        <v>8</v>
      </c>
      <c r="E49" s="250">
        <v>0</v>
      </c>
      <c r="F49" s="250">
        <v>16</v>
      </c>
      <c r="G49" s="250">
        <v>0</v>
      </c>
      <c r="H49" s="250">
        <f t="shared" ref="H49:H55" si="23">D49+E49+F49+G49</f>
        <v>24</v>
      </c>
      <c r="I49" s="250">
        <f>D49*1</f>
        <v>8</v>
      </c>
      <c r="J49" s="250">
        <f t="shared" si="20"/>
        <v>0</v>
      </c>
      <c r="K49" s="250">
        <f t="shared" si="21"/>
        <v>3.2</v>
      </c>
      <c r="L49" s="250">
        <f t="shared" si="22"/>
        <v>0</v>
      </c>
      <c r="M49" s="250">
        <f>I49+J49+K49+L49</f>
        <v>11.2</v>
      </c>
      <c r="N49" s="409"/>
      <c r="O49" s="409"/>
      <c r="P49" s="409"/>
      <c r="Q49" s="409"/>
      <c r="R49" s="409"/>
    </row>
    <row r="50" spans="1:18" x14ac:dyDescent="0.25">
      <c r="A50" s="246"/>
      <c r="B50" s="74"/>
      <c r="C50" s="18" t="s">
        <v>211</v>
      </c>
      <c r="D50" s="250">
        <v>4</v>
      </c>
      <c r="E50" s="250">
        <v>0</v>
      </c>
      <c r="F50" s="250">
        <v>12</v>
      </c>
      <c r="G50" s="250">
        <v>2</v>
      </c>
      <c r="H50" s="250">
        <f t="shared" si="23"/>
        <v>18</v>
      </c>
      <c r="I50" s="250">
        <f>D50*1</f>
        <v>4</v>
      </c>
      <c r="J50" s="250">
        <f t="shared" si="20"/>
        <v>0</v>
      </c>
      <c r="K50" s="250">
        <f t="shared" si="21"/>
        <v>2.4000000000000004</v>
      </c>
      <c r="L50" s="250">
        <f t="shared" si="22"/>
        <v>1</v>
      </c>
      <c r="M50" s="250">
        <f>I50+J50+K50+L50</f>
        <v>7.4</v>
      </c>
      <c r="N50" s="409"/>
      <c r="O50" s="409"/>
      <c r="P50" s="409"/>
      <c r="Q50" s="409"/>
      <c r="R50" s="409"/>
    </row>
    <row r="51" spans="1:18" x14ac:dyDescent="0.25">
      <c r="A51" s="246"/>
      <c r="B51" s="74"/>
      <c r="C51" s="18" t="s">
        <v>212</v>
      </c>
      <c r="D51" s="250">
        <v>2</v>
      </c>
      <c r="E51" s="250">
        <v>0</v>
      </c>
      <c r="F51" s="250">
        <v>9</v>
      </c>
      <c r="G51" s="250">
        <v>0</v>
      </c>
      <c r="H51" s="250">
        <f t="shared" si="23"/>
        <v>11</v>
      </c>
      <c r="I51" s="250">
        <f>D51*1</f>
        <v>2</v>
      </c>
      <c r="J51" s="250">
        <f t="shared" si="20"/>
        <v>0</v>
      </c>
      <c r="K51" s="250">
        <f t="shared" si="21"/>
        <v>1.8</v>
      </c>
      <c r="L51" s="250">
        <f t="shared" si="22"/>
        <v>0</v>
      </c>
      <c r="M51" s="250">
        <f>I51+J51+K51+L51</f>
        <v>3.8</v>
      </c>
      <c r="N51" s="409"/>
      <c r="O51" s="409"/>
      <c r="P51" s="409"/>
      <c r="Q51" s="409"/>
      <c r="R51" s="409"/>
    </row>
    <row r="52" spans="1:18" x14ac:dyDescent="0.25">
      <c r="A52" s="246"/>
      <c r="B52" s="74"/>
      <c r="C52" s="246" t="s">
        <v>213</v>
      </c>
      <c r="D52" s="250">
        <v>7</v>
      </c>
      <c r="E52" s="250">
        <v>0</v>
      </c>
      <c r="F52" s="250">
        <v>10</v>
      </c>
      <c r="G52" s="250">
        <v>0</v>
      </c>
      <c r="H52" s="250">
        <f t="shared" si="23"/>
        <v>17</v>
      </c>
      <c r="I52" s="250">
        <f t="shared" ref="I52:I55" si="24">D52*1</f>
        <v>7</v>
      </c>
      <c r="J52" s="250">
        <f t="shared" si="20"/>
        <v>0</v>
      </c>
      <c r="K52" s="250">
        <f t="shared" si="21"/>
        <v>2</v>
      </c>
      <c r="L52" s="250">
        <f t="shared" si="22"/>
        <v>0</v>
      </c>
      <c r="M52" s="250">
        <f t="shared" ref="M52:M55" si="25">I52+J52+K52+L52</f>
        <v>9</v>
      </c>
      <c r="N52" s="408">
        <f>SUM(M52:M55)</f>
        <v>33</v>
      </c>
      <c r="O52" s="408">
        <f>4*(MAX(M52:M55))</f>
        <v>36</v>
      </c>
      <c r="P52" s="74"/>
      <c r="Q52" s="74"/>
      <c r="R52" s="408">
        <f>N52/10%</f>
        <v>330</v>
      </c>
    </row>
    <row r="53" spans="1:18" x14ac:dyDescent="0.25">
      <c r="A53" s="246"/>
      <c r="B53" s="74"/>
      <c r="C53" s="246" t="s">
        <v>214</v>
      </c>
      <c r="D53" s="250">
        <v>6</v>
      </c>
      <c r="E53" s="250">
        <v>0</v>
      </c>
      <c r="F53" s="250">
        <v>15</v>
      </c>
      <c r="G53" s="250"/>
      <c r="H53" s="250">
        <f t="shared" si="23"/>
        <v>21</v>
      </c>
      <c r="I53" s="250">
        <f t="shared" si="24"/>
        <v>6</v>
      </c>
      <c r="J53" s="250">
        <f t="shared" si="20"/>
        <v>0</v>
      </c>
      <c r="K53" s="250">
        <f t="shared" si="21"/>
        <v>3</v>
      </c>
      <c r="L53" s="250">
        <f t="shared" si="22"/>
        <v>0</v>
      </c>
      <c r="M53" s="250">
        <f t="shared" si="25"/>
        <v>9</v>
      </c>
      <c r="N53" s="409"/>
      <c r="O53" s="409"/>
      <c r="P53" s="74"/>
      <c r="Q53" s="74"/>
      <c r="R53" s="409"/>
    </row>
    <row r="54" spans="1:18" x14ac:dyDescent="0.25">
      <c r="A54" s="246"/>
      <c r="B54" s="74"/>
      <c r="C54" s="246" t="s">
        <v>215</v>
      </c>
      <c r="D54" s="250">
        <v>7</v>
      </c>
      <c r="E54" s="250">
        <v>0</v>
      </c>
      <c r="F54" s="250">
        <v>8</v>
      </c>
      <c r="G54" s="250">
        <v>0</v>
      </c>
      <c r="H54" s="250">
        <f t="shared" si="23"/>
        <v>15</v>
      </c>
      <c r="I54" s="250">
        <f t="shared" si="24"/>
        <v>7</v>
      </c>
      <c r="J54" s="250">
        <f t="shared" si="20"/>
        <v>0</v>
      </c>
      <c r="K54" s="250">
        <f t="shared" si="21"/>
        <v>1.6</v>
      </c>
      <c r="L54" s="250">
        <f t="shared" si="22"/>
        <v>0</v>
      </c>
      <c r="M54" s="250">
        <f t="shared" si="25"/>
        <v>8.6</v>
      </c>
      <c r="N54" s="409"/>
      <c r="O54" s="409"/>
      <c r="P54" s="74"/>
      <c r="Q54" s="74"/>
      <c r="R54" s="409"/>
    </row>
    <row r="55" spans="1:18" x14ac:dyDescent="0.25">
      <c r="A55" s="246"/>
      <c r="B55" s="74"/>
      <c r="C55" s="246" t="s">
        <v>216</v>
      </c>
      <c r="D55" s="250">
        <v>4</v>
      </c>
      <c r="E55" s="250">
        <v>0</v>
      </c>
      <c r="F55" s="250">
        <v>12</v>
      </c>
      <c r="G55" s="250">
        <v>0</v>
      </c>
      <c r="H55" s="250">
        <f t="shared" si="23"/>
        <v>16</v>
      </c>
      <c r="I55" s="250">
        <f t="shared" si="24"/>
        <v>4</v>
      </c>
      <c r="J55" s="250">
        <f t="shared" si="20"/>
        <v>0</v>
      </c>
      <c r="K55" s="250">
        <f t="shared" si="21"/>
        <v>2.4000000000000004</v>
      </c>
      <c r="L55" s="250">
        <f t="shared" si="22"/>
        <v>0</v>
      </c>
      <c r="M55" s="250">
        <f t="shared" si="25"/>
        <v>6.4</v>
      </c>
      <c r="N55" s="409"/>
      <c r="O55" s="409"/>
      <c r="P55" s="74"/>
      <c r="Q55" s="74"/>
      <c r="R55" s="409"/>
    </row>
    <row r="56" spans="1:18" x14ac:dyDescent="0.25">
      <c r="A56" s="247"/>
      <c r="B56" s="104"/>
      <c r="C56" s="247"/>
      <c r="D56" s="247"/>
      <c r="E56" s="247"/>
      <c r="F56" s="247"/>
      <c r="G56" s="247"/>
      <c r="H56" s="247"/>
      <c r="I56" s="247"/>
      <c r="J56" s="247"/>
      <c r="K56" s="247"/>
      <c r="L56" s="247"/>
      <c r="M56" s="247"/>
      <c r="N56" s="104"/>
      <c r="O56" s="104"/>
      <c r="P56" s="104"/>
      <c r="Q56" s="104"/>
      <c r="R56" s="104"/>
    </row>
    <row r="57" spans="1:18" x14ac:dyDescent="0.25">
      <c r="A57" s="245"/>
      <c r="B57" s="3"/>
      <c r="C57" s="245"/>
      <c r="D57" s="245"/>
      <c r="E57" s="245"/>
      <c r="F57" s="245"/>
      <c r="G57" s="245"/>
      <c r="H57" s="245"/>
      <c r="I57" s="245"/>
      <c r="J57" s="245"/>
      <c r="K57" s="245"/>
      <c r="L57" s="245"/>
      <c r="M57" s="245"/>
      <c r="N57" s="3"/>
      <c r="O57" s="3"/>
      <c r="P57" s="3"/>
      <c r="Q57" s="3"/>
      <c r="R57" s="3"/>
    </row>
    <row r="58" spans="1:18" x14ac:dyDescent="0.25">
      <c r="A58" s="246">
        <v>5</v>
      </c>
      <c r="B58" s="74" t="s">
        <v>206</v>
      </c>
      <c r="C58" s="18" t="s">
        <v>209</v>
      </c>
      <c r="D58" s="250">
        <v>8</v>
      </c>
      <c r="E58" s="250">
        <v>0</v>
      </c>
      <c r="F58" s="250">
        <v>16</v>
      </c>
      <c r="G58" s="250">
        <v>0</v>
      </c>
      <c r="H58" s="250">
        <f>D58+E58+F58+G58</f>
        <v>24</v>
      </c>
      <c r="I58" s="250">
        <f>D58*1</f>
        <v>8</v>
      </c>
      <c r="J58" s="250">
        <f t="shared" ref="J58:J65" si="26">E58*1.5</f>
        <v>0</v>
      </c>
      <c r="K58" s="250">
        <f t="shared" ref="K58:K65" si="27">F58*0.2</f>
        <v>3.2</v>
      </c>
      <c r="L58" s="250">
        <f t="shared" ref="L58:L65" si="28">G58*0.5</f>
        <v>0</v>
      </c>
      <c r="M58" s="250">
        <f>I58+J58+K58+L58</f>
        <v>11.2</v>
      </c>
      <c r="N58" s="408">
        <f>SUM(M58:M61)</f>
        <v>40.800000000000004</v>
      </c>
      <c r="O58" s="408">
        <f>4*(MAX(M58:M61))</f>
        <v>45.2</v>
      </c>
      <c r="P58" s="408">
        <f>N58/O58</f>
        <v>0.90265486725663724</v>
      </c>
      <c r="Q58" s="408">
        <f>100/(P58*100)</f>
        <v>1.107843137254902</v>
      </c>
      <c r="R58" s="408">
        <f>N58/10%</f>
        <v>408</v>
      </c>
    </row>
    <row r="59" spans="1:18" x14ac:dyDescent="0.25">
      <c r="A59" s="246"/>
      <c r="B59" s="74"/>
      <c r="C59" s="18" t="s">
        <v>210</v>
      </c>
      <c r="D59" s="250">
        <v>7</v>
      </c>
      <c r="E59" s="250">
        <v>1</v>
      </c>
      <c r="F59" s="250">
        <v>14</v>
      </c>
      <c r="G59" s="250">
        <v>0</v>
      </c>
      <c r="H59" s="250">
        <f t="shared" ref="H59:H65" si="29">D59+E59+F59+G59</f>
        <v>22</v>
      </c>
      <c r="I59" s="250">
        <f>D59*1</f>
        <v>7</v>
      </c>
      <c r="J59" s="250">
        <f t="shared" si="26"/>
        <v>1.5</v>
      </c>
      <c r="K59" s="250">
        <f t="shared" si="27"/>
        <v>2.8000000000000003</v>
      </c>
      <c r="L59" s="250">
        <f t="shared" si="28"/>
        <v>0</v>
      </c>
      <c r="M59" s="250">
        <f>I59+J59+K59+L59</f>
        <v>11.3</v>
      </c>
      <c r="N59" s="409"/>
      <c r="O59" s="409"/>
      <c r="P59" s="409"/>
      <c r="Q59" s="409"/>
      <c r="R59" s="409"/>
    </row>
    <row r="60" spans="1:18" x14ac:dyDescent="0.25">
      <c r="A60" s="246"/>
      <c r="B60" s="74"/>
      <c r="C60" s="18" t="s">
        <v>211</v>
      </c>
      <c r="D60" s="250">
        <v>8</v>
      </c>
      <c r="E60" s="250">
        <v>0</v>
      </c>
      <c r="F60" s="250">
        <v>16</v>
      </c>
      <c r="G60" s="250">
        <v>0</v>
      </c>
      <c r="H60" s="250">
        <f t="shared" si="29"/>
        <v>24</v>
      </c>
      <c r="I60" s="250">
        <f>D60*1</f>
        <v>8</v>
      </c>
      <c r="J60" s="250">
        <f t="shared" si="26"/>
        <v>0</v>
      </c>
      <c r="K60" s="250">
        <f t="shared" si="27"/>
        <v>3.2</v>
      </c>
      <c r="L60" s="250">
        <f t="shared" si="28"/>
        <v>0</v>
      </c>
      <c r="M60" s="250">
        <f>I60+J60+K60+L60</f>
        <v>11.2</v>
      </c>
      <c r="N60" s="409"/>
      <c r="O60" s="409"/>
      <c r="P60" s="409"/>
      <c r="Q60" s="409"/>
      <c r="R60" s="409"/>
    </row>
    <row r="61" spans="1:18" x14ac:dyDescent="0.25">
      <c r="A61" s="246"/>
      <c r="B61" s="74"/>
      <c r="C61" s="18" t="s">
        <v>212</v>
      </c>
      <c r="D61" s="250">
        <v>4</v>
      </c>
      <c r="E61" s="250">
        <v>1</v>
      </c>
      <c r="F61" s="250">
        <v>8</v>
      </c>
      <c r="G61" s="250">
        <v>0</v>
      </c>
      <c r="H61" s="250">
        <f t="shared" si="29"/>
        <v>13</v>
      </c>
      <c r="I61" s="250">
        <f>D61*1</f>
        <v>4</v>
      </c>
      <c r="J61" s="250">
        <f t="shared" si="26"/>
        <v>1.5</v>
      </c>
      <c r="K61" s="250">
        <f t="shared" si="27"/>
        <v>1.6</v>
      </c>
      <c r="L61" s="250">
        <f t="shared" si="28"/>
        <v>0</v>
      </c>
      <c r="M61" s="250">
        <f>I61+J61+K61+L61</f>
        <v>7.1</v>
      </c>
      <c r="N61" s="409"/>
      <c r="O61" s="409"/>
      <c r="P61" s="409"/>
      <c r="Q61" s="409"/>
      <c r="R61" s="409"/>
    </row>
    <row r="62" spans="1:18" x14ac:dyDescent="0.25">
      <c r="A62" s="246"/>
      <c r="B62" s="74"/>
      <c r="C62" s="246" t="s">
        <v>213</v>
      </c>
      <c r="D62" s="250">
        <v>9</v>
      </c>
      <c r="E62" s="250">
        <v>0</v>
      </c>
      <c r="F62" s="250">
        <v>13</v>
      </c>
      <c r="G62" s="250">
        <v>0</v>
      </c>
      <c r="H62" s="250">
        <f t="shared" si="29"/>
        <v>22</v>
      </c>
      <c r="I62" s="250">
        <f t="shared" ref="I62:I65" si="30">D62*1</f>
        <v>9</v>
      </c>
      <c r="J62" s="250">
        <f t="shared" si="26"/>
        <v>0</v>
      </c>
      <c r="K62" s="250">
        <f t="shared" si="27"/>
        <v>2.6</v>
      </c>
      <c r="L62" s="250">
        <f t="shared" si="28"/>
        <v>0</v>
      </c>
      <c r="M62" s="250">
        <f t="shared" ref="M62:M65" si="31">I62+J62+K62+L62</f>
        <v>11.6</v>
      </c>
      <c r="N62" s="408">
        <f>SUM(M62:M65)</f>
        <v>42.099999999999994</v>
      </c>
      <c r="O62" s="408">
        <f>4*(MAX(M62:M65))</f>
        <v>46.4</v>
      </c>
      <c r="P62" s="74"/>
      <c r="Q62" s="74"/>
      <c r="R62" s="408">
        <f>N62/10%</f>
        <v>420.99999999999994</v>
      </c>
    </row>
    <row r="63" spans="1:18" x14ac:dyDescent="0.25">
      <c r="A63" s="246"/>
      <c r="B63" s="74"/>
      <c r="C63" s="246" t="s">
        <v>214</v>
      </c>
      <c r="D63" s="250">
        <v>6</v>
      </c>
      <c r="E63" s="250">
        <v>0</v>
      </c>
      <c r="F63" s="250">
        <v>18</v>
      </c>
      <c r="G63" s="250">
        <v>0</v>
      </c>
      <c r="H63" s="250">
        <f t="shared" si="29"/>
        <v>24</v>
      </c>
      <c r="I63" s="250">
        <f t="shared" si="30"/>
        <v>6</v>
      </c>
      <c r="J63" s="250">
        <f t="shared" si="26"/>
        <v>0</v>
      </c>
      <c r="K63" s="250">
        <f t="shared" si="27"/>
        <v>3.6</v>
      </c>
      <c r="L63" s="250">
        <f t="shared" si="28"/>
        <v>0</v>
      </c>
      <c r="M63" s="250">
        <f t="shared" si="31"/>
        <v>9.6</v>
      </c>
      <c r="N63" s="409"/>
      <c r="O63" s="409"/>
      <c r="P63" s="74"/>
      <c r="Q63" s="74"/>
      <c r="R63" s="409"/>
    </row>
    <row r="64" spans="1:18" x14ac:dyDescent="0.25">
      <c r="A64" s="246"/>
      <c r="B64" s="74"/>
      <c r="C64" s="246" t="s">
        <v>215</v>
      </c>
      <c r="D64" s="250">
        <v>6</v>
      </c>
      <c r="E64" s="250">
        <v>2</v>
      </c>
      <c r="F64" s="250">
        <v>11</v>
      </c>
      <c r="G64" s="250">
        <v>0</v>
      </c>
      <c r="H64" s="250">
        <f t="shared" si="29"/>
        <v>19</v>
      </c>
      <c r="I64" s="250">
        <f t="shared" si="30"/>
        <v>6</v>
      </c>
      <c r="J64" s="250">
        <f t="shared" si="26"/>
        <v>3</v>
      </c>
      <c r="K64" s="250">
        <f t="shared" si="27"/>
        <v>2.2000000000000002</v>
      </c>
      <c r="L64" s="250">
        <f t="shared" si="28"/>
        <v>0</v>
      </c>
      <c r="M64" s="250">
        <f t="shared" si="31"/>
        <v>11.2</v>
      </c>
      <c r="N64" s="409"/>
      <c r="O64" s="409"/>
      <c r="P64" s="74"/>
      <c r="Q64" s="74"/>
      <c r="R64" s="409"/>
    </row>
    <row r="65" spans="1:19" x14ac:dyDescent="0.25">
      <c r="A65" s="246"/>
      <c r="B65" s="74"/>
      <c r="C65" s="246" t="s">
        <v>216</v>
      </c>
      <c r="D65" s="250">
        <v>7</v>
      </c>
      <c r="E65" s="250">
        <v>1</v>
      </c>
      <c r="F65" s="250">
        <v>6</v>
      </c>
      <c r="G65" s="250">
        <v>0</v>
      </c>
      <c r="H65" s="250">
        <f t="shared" si="29"/>
        <v>14</v>
      </c>
      <c r="I65" s="250">
        <f t="shared" si="30"/>
        <v>7</v>
      </c>
      <c r="J65" s="250">
        <f t="shared" si="26"/>
        <v>1.5</v>
      </c>
      <c r="K65" s="250">
        <f t="shared" si="27"/>
        <v>1.2000000000000002</v>
      </c>
      <c r="L65" s="250">
        <f t="shared" si="28"/>
        <v>0</v>
      </c>
      <c r="M65" s="250">
        <f t="shared" si="31"/>
        <v>9.6999999999999993</v>
      </c>
      <c r="N65" s="409"/>
      <c r="O65" s="409"/>
      <c r="P65" s="74"/>
      <c r="Q65" s="74"/>
      <c r="R65" s="409"/>
    </row>
    <row r="66" spans="1:19" x14ac:dyDescent="0.25">
      <c r="A66" s="247"/>
      <c r="B66" s="104"/>
      <c r="C66" s="247"/>
      <c r="D66" s="247"/>
      <c r="E66" s="247"/>
      <c r="F66" s="247"/>
      <c r="G66" s="247"/>
      <c r="H66" s="247"/>
      <c r="I66" s="247"/>
      <c r="J66" s="247"/>
      <c r="K66" s="247"/>
      <c r="L66" s="247"/>
      <c r="M66" s="247"/>
      <c r="N66" s="104"/>
      <c r="O66" s="104"/>
      <c r="P66" s="104"/>
      <c r="Q66" s="104"/>
      <c r="R66" s="104"/>
    </row>
    <row r="67" spans="1:19" x14ac:dyDescent="0.25">
      <c r="A67" s="245"/>
      <c r="B67" s="3"/>
      <c r="C67" s="245"/>
      <c r="D67" s="245"/>
      <c r="E67" s="245"/>
      <c r="F67" s="245"/>
      <c r="G67" s="245"/>
      <c r="H67" s="245"/>
      <c r="I67" s="245"/>
      <c r="J67" s="245"/>
      <c r="K67" s="245"/>
      <c r="L67" s="245"/>
      <c r="M67" s="245"/>
      <c r="N67" s="3"/>
      <c r="O67" s="3"/>
      <c r="P67" s="3"/>
      <c r="Q67" s="3"/>
      <c r="R67" s="3"/>
    </row>
    <row r="68" spans="1:19" x14ac:dyDescent="0.25">
      <c r="A68" s="246">
        <v>6</v>
      </c>
      <c r="B68" s="74" t="s">
        <v>207</v>
      </c>
      <c r="C68" s="18" t="s">
        <v>209</v>
      </c>
      <c r="D68" s="250">
        <v>2</v>
      </c>
      <c r="E68" s="250">
        <v>0</v>
      </c>
      <c r="F68" s="250">
        <v>8</v>
      </c>
      <c r="G68" s="250">
        <v>0</v>
      </c>
      <c r="H68" s="250">
        <f>D68+E68+F68+G68</f>
        <v>10</v>
      </c>
      <c r="I68" s="250">
        <f>D68*1</f>
        <v>2</v>
      </c>
      <c r="J68" s="250">
        <f t="shared" ref="J68:J75" si="32">E68*1.5</f>
        <v>0</v>
      </c>
      <c r="K68" s="250">
        <f t="shared" ref="K68:K75" si="33">F68*0.2</f>
        <v>1.6</v>
      </c>
      <c r="L68" s="250">
        <f t="shared" ref="L68:L75" si="34">G68*0.5</f>
        <v>0</v>
      </c>
      <c r="M68" s="250">
        <f>I68+J68+K68+L68</f>
        <v>3.6</v>
      </c>
      <c r="N68" s="408">
        <f>SUM(M68:M71)</f>
        <v>11.100000000000001</v>
      </c>
      <c r="O68" s="408">
        <f>4*(MAX(M68:M71))</f>
        <v>18</v>
      </c>
      <c r="P68" s="408">
        <f>N68/O68</f>
        <v>0.6166666666666667</v>
      </c>
      <c r="Q68" s="408">
        <f>100/(P68*100)</f>
        <v>1.6216216216216215</v>
      </c>
      <c r="R68" s="408">
        <f>N68/10%</f>
        <v>111.00000000000001</v>
      </c>
    </row>
    <row r="69" spans="1:19" x14ac:dyDescent="0.25">
      <c r="A69" s="246"/>
      <c r="B69" s="74"/>
      <c r="C69" s="18" t="s">
        <v>210</v>
      </c>
      <c r="D69" s="250">
        <v>2</v>
      </c>
      <c r="E69" s="250">
        <v>1</v>
      </c>
      <c r="F69" s="250">
        <v>5</v>
      </c>
      <c r="G69" s="250">
        <v>0</v>
      </c>
      <c r="H69" s="250">
        <f t="shared" ref="H69:H75" si="35">D69+E69+F69+G69</f>
        <v>8</v>
      </c>
      <c r="I69" s="250">
        <f>D69*1</f>
        <v>2</v>
      </c>
      <c r="J69" s="250">
        <f t="shared" si="32"/>
        <v>1.5</v>
      </c>
      <c r="K69" s="250">
        <f t="shared" si="33"/>
        <v>1</v>
      </c>
      <c r="L69" s="250">
        <f t="shared" si="34"/>
        <v>0</v>
      </c>
      <c r="M69" s="250">
        <f>I69+J69+K69+L69</f>
        <v>4.5</v>
      </c>
      <c r="N69" s="409"/>
      <c r="O69" s="409"/>
      <c r="P69" s="409"/>
      <c r="Q69" s="409"/>
      <c r="R69" s="409"/>
    </row>
    <row r="70" spans="1:19" x14ac:dyDescent="0.25">
      <c r="A70" s="246"/>
      <c r="B70" s="74"/>
      <c r="C70" s="18" t="s">
        <v>211</v>
      </c>
      <c r="D70" s="250">
        <v>1</v>
      </c>
      <c r="E70" s="250">
        <v>0</v>
      </c>
      <c r="F70" s="250">
        <v>6</v>
      </c>
      <c r="G70" s="250">
        <v>0</v>
      </c>
      <c r="H70" s="250">
        <f t="shared" si="35"/>
        <v>7</v>
      </c>
      <c r="I70" s="250">
        <f>D70*1</f>
        <v>1</v>
      </c>
      <c r="J70" s="250">
        <f t="shared" si="32"/>
        <v>0</v>
      </c>
      <c r="K70" s="250">
        <f t="shared" si="33"/>
        <v>1.2000000000000002</v>
      </c>
      <c r="L70" s="250">
        <f t="shared" si="34"/>
        <v>0</v>
      </c>
      <c r="M70" s="250">
        <f>I70+J70+K70+L70</f>
        <v>2.2000000000000002</v>
      </c>
      <c r="N70" s="409"/>
      <c r="O70" s="409"/>
      <c r="P70" s="409"/>
      <c r="Q70" s="409"/>
      <c r="R70" s="409"/>
    </row>
    <row r="71" spans="1:19" x14ac:dyDescent="0.25">
      <c r="A71" s="246"/>
      <c r="B71" s="74"/>
      <c r="C71" s="18" t="s">
        <v>212</v>
      </c>
      <c r="D71" s="250">
        <v>0</v>
      </c>
      <c r="E71" s="250">
        <v>0</v>
      </c>
      <c r="F71" s="250">
        <v>4</v>
      </c>
      <c r="G71" s="250">
        <v>0</v>
      </c>
      <c r="H71" s="250">
        <f t="shared" si="35"/>
        <v>4</v>
      </c>
      <c r="I71" s="250">
        <f>D71*1</f>
        <v>0</v>
      </c>
      <c r="J71" s="250">
        <f t="shared" si="32"/>
        <v>0</v>
      </c>
      <c r="K71" s="250">
        <f t="shared" si="33"/>
        <v>0.8</v>
      </c>
      <c r="L71" s="250">
        <f t="shared" si="34"/>
        <v>0</v>
      </c>
      <c r="M71" s="250">
        <f>I71+J71+K71+L71</f>
        <v>0.8</v>
      </c>
      <c r="N71" s="409"/>
      <c r="O71" s="409"/>
      <c r="P71" s="409"/>
      <c r="Q71" s="409"/>
      <c r="R71" s="409"/>
    </row>
    <row r="72" spans="1:19" x14ac:dyDescent="0.25">
      <c r="A72" s="246"/>
      <c r="B72" s="74"/>
      <c r="C72" s="246" t="s">
        <v>213</v>
      </c>
      <c r="D72" s="250">
        <v>1</v>
      </c>
      <c r="E72" s="250">
        <v>0</v>
      </c>
      <c r="F72" s="250">
        <v>6</v>
      </c>
      <c r="G72" s="250">
        <v>0</v>
      </c>
      <c r="H72" s="250">
        <f t="shared" si="35"/>
        <v>7</v>
      </c>
      <c r="I72" s="250">
        <f t="shared" ref="I72:I75" si="36">D72*1</f>
        <v>1</v>
      </c>
      <c r="J72" s="250">
        <f t="shared" si="32"/>
        <v>0</v>
      </c>
      <c r="K72" s="250">
        <f t="shared" si="33"/>
        <v>1.2000000000000002</v>
      </c>
      <c r="L72" s="250">
        <f t="shared" si="34"/>
        <v>0</v>
      </c>
      <c r="M72" s="250">
        <f t="shared" ref="M72:M75" si="37">I72+J72+K72+L72</f>
        <v>2.2000000000000002</v>
      </c>
      <c r="N72" s="408">
        <f>SUM(M72:M75)</f>
        <v>10.9</v>
      </c>
      <c r="O72" s="408">
        <f>4*(MAX(M72:M75))</f>
        <v>14.4</v>
      </c>
      <c r="P72" s="74"/>
      <c r="Q72" s="74"/>
      <c r="R72" s="408">
        <f>N72/10%</f>
        <v>109</v>
      </c>
    </row>
    <row r="73" spans="1:19" x14ac:dyDescent="0.25">
      <c r="A73" s="246"/>
      <c r="B73" s="74"/>
      <c r="C73" s="246" t="s">
        <v>214</v>
      </c>
      <c r="D73" s="250">
        <v>2</v>
      </c>
      <c r="E73" s="250">
        <v>0</v>
      </c>
      <c r="F73" s="250">
        <v>8</v>
      </c>
      <c r="G73" s="250">
        <v>0</v>
      </c>
      <c r="H73" s="250">
        <f t="shared" si="35"/>
        <v>10</v>
      </c>
      <c r="I73" s="250">
        <f t="shared" si="36"/>
        <v>2</v>
      </c>
      <c r="J73" s="250">
        <f t="shared" si="32"/>
        <v>0</v>
      </c>
      <c r="K73" s="250">
        <f t="shared" si="33"/>
        <v>1.6</v>
      </c>
      <c r="L73" s="250">
        <f t="shared" si="34"/>
        <v>0</v>
      </c>
      <c r="M73" s="250">
        <f t="shared" si="37"/>
        <v>3.6</v>
      </c>
      <c r="N73" s="409"/>
      <c r="O73" s="409"/>
      <c r="P73" s="74"/>
      <c r="Q73" s="74"/>
      <c r="R73" s="409"/>
    </row>
    <row r="74" spans="1:19" x14ac:dyDescent="0.25">
      <c r="A74" s="246"/>
      <c r="B74" s="74"/>
      <c r="C74" s="246" t="s">
        <v>215</v>
      </c>
      <c r="D74" s="250">
        <v>0</v>
      </c>
      <c r="E74" s="250">
        <v>1</v>
      </c>
      <c r="F74" s="250">
        <v>6</v>
      </c>
      <c r="G74" s="250">
        <v>0</v>
      </c>
      <c r="H74" s="250">
        <f t="shared" si="35"/>
        <v>7</v>
      </c>
      <c r="I74" s="250">
        <f t="shared" si="36"/>
        <v>0</v>
      </c>
      <c r="J74" s="250">
        <f t="shared" si="32"/>
        <v>1.5</v>
      </c>
      <c r="K74" s="250">
        <f t="shared" si="33"/>
        <v>1.2000000000000002</v>
      </c>
      <c r="L74" s="250">
        <f t="shared" si="34"/>
        <v>0</v>
      </c>
      <c r="M74" s="250">
        <f t="shared" si="37"/>
        <v>2.7</v>
      </c>
      <c r="N74" s="409"/>
      <c r="O74" s="409"/>
      <c r="P74" s="74"/>
      <c r="Q74" s="74"/>
      <c r="R74" s="409"/>
    </row>
    <row r="75" spans="1:19" x14ac:dyDescent="0.25">
      <c r="A75" s="246"/>
      <c r="B75" s="74"/>
      <c r="C75" s="246" t="s">
        <v>216</v>
      </c>
      <c r="D75" s="250">
        <v>1</v>
      </c>
      <c r="E75" s="250">
        <v>0</v>
      </c>
      <c r="F75" s="250">
        <v>7</v>
      </c>
      <c r="G75" s="250">
        <v>0</v>
      </c>
      <c r="H75" s="250">
        <f t="shared" si="35"/>
        <v>8</v>
      </c>
      <c r="I75" s="250">
        <f t="shared" si="36"/>
        <v>1</v>
      </c>
      <c r="J75" s="250">
        <f t="shared" si="32"/>
        <v>0</v>
      </c>
      <c r="K75" s="250">
        <f t="shared" si="33"/>
        <v>1.4000000000000001</v>
      </c>
      <c r="L75" s="250">
        <f t="shared" si="34"/>
        <v>0</v>
      </c>
      <c r="M75" s="250">
        <f t="shared" si="37"/>
        <v>2.4000000000000004</v>
      </c>
      <c r="N75" s="409"/>
      <c r="O75" s="409"/>
      <c r="P75" s="74"/>
      <c r="Q75" s="74"/>
      <c r="R75" s="409"/>
    </row>
    <row r="76" spans="1:19" x14ac:dyDescent="0.25">
      <c r="A76" s="247"/>
      <c r="B76" s="104"/>
      <c r="C76" s="247"/>
      <c r="D76" s="247"/>
      <c r="E76" s="247"/>
      <c r="F76" s="247"/>
      <c r="G76" s="247"/>
      <c r="H76" s="247"/>
      <c r="I76" s="247"/>
      <c r="J76" s="247"/>
      <c r="K76" s="247"/>
      <c r="L76" s="247"/>
      <c r="M76" s="247"/>
      <c r="N76" s="104"/>
      <c r="O76" s="104"/>
      <c r="P76" s="104"/>
      <c r="Q76" s="104"/>
      <c r="R76" s="104"/>
    </row>
    <row r="78" spans="1:19" x14ac:dyDescent="0.25">
      <c r="A78" s="73" t="s">
        <v>229</v>
      </c>
    </row>
    <row r="79" spans="1:19" x14ac:dyDescent="0.25">
      <c r="B79" s="254" t="s">
        <v>230</v>
      </c>
      <c r="D79" s="255" t="s">
        <v>234</v>
      </c>
      <c r="S79" t="s">
        <v>224</v>
      </c>
    </row>
    <row r="80" spans="1:19" x14ac:dyDescent="0.25">
      <c r="B80" s="254" t="s">
        <v>235</v>
      </c>
      <c r="D80" s="255" t="s">
        <v>236</v>
      </c>
      <c r="S80" s="253" t="s">
        <v>225</v>
      </c>
    </row>
    <row r="81" spans="1:33" x14ac:dyDescent="0.25">
      <c r="B81" s="254" t="s">
        <v>239</v>
      </c>
      <c r="D81" s="255" t="s">
        <v>240</v>
      </c>
    </row>
    <row r="82" spans="1:33" x14ac:dyDescent="0.25">
      <c r="B82" s="254" t="s">
        <v>237</v>
      </c>
      <c r="D82" s="255" t="s">
        <v>238</v>
      </c>
    </row>
    <row r="85" spans="1:33" x14ac:dyDescent="0.25">
      <c r="A85" s="112"/>
      <c r="B85" s="112"/>
      <c r="C85" s="112"/>
      <c r="D85" s="112"/>
      <c r="E85" s="112"/>
      <c r="F85" s="112"/>
      <c r="G85" s="112"/>
      <c r="H85" s="112"/>
      <c r="I85" s="112"/>
      <c r="J85" s="112"/>
      <c r="K85" s="112"/>
      <c r="L85" s="112"/>
      <c r="N85" s="113"/>
      <c r="O85" s="112"/>
      <c r="P85" s="112"/>
      <c r="Q85" s="112"/>
      <c r="R85" s="112"/>
      <c r="S85" s="112"/>
      <c r="T85" s="112"/>
      <c r="U85" s="112"/>
      <c r="V85" s="112"/>
      <c r="W85" s="112"/>
      <c r="X85" s="112"/>
      <c r="Y85" s="112"/>
      <c r="Z85" s="112"/>
      <c r="AA85" s="112"/>
      <c r="AB85" s="112"/>
      <c r="AD85" s="112"/>
      <c r="AE85" s="112"/>
      <c r="AF85" s="112"/>
      <c r="AG85" s="112"/>
    </row>
    <row r="86" spans="1:33" x14ac:dyDescent="0.25">
      <c r="A86" s="358" t="s">
        <v>62</v>
      </c>
      <c r="B86" s="358"/>
      <c r="C86" s="358"/>
      <c r="D86" s="358"/>
      <c r="E86" s="358"/>
      <c r="F86" s="358"/>
      <c r="G86" s="358"/>
      <c r="H86" s="358"/>
      <c r="I86" s="358"/>
      <c r="J86" s="358"/>
      <c r="K86" s="358"/>
      <c r="L86" s="358"/>
      <c r="M86" s="358"/>
      <c r="N86" s="358"/>
      <c r="O86" s="358"/>
      <c r="P86" s="358"/>
      <c r="Q86" s="358"/>
      <c r="R86" s="358"/>
      <c r="S86" s="114"/>
      <c r="T86" s="114"/>
      <c r="U86" s="114"/>
      <c r="V86" s="114"/>
      <c r="W86" s="114"/>
      <c r="X86" s="114"/>
      <c r="Y86" s="114"/>
      <c r="Z86" s="114"/>
      <c r="AA86" s="114"/>
      <c r="AB86" s="114"/>
      <c r="AC86" s="114"/>
      <c r="AD86" s="114"/>
      <c r="AE86" s="114"/>
      <c r="AF86" s="114"/>
      <c r="AG86" s="112"/>
    </row>
    <row r="87" spans="1:33" ht="15" customHeight="1" x14ac:dyDescent="0.25">
      <c r="A87" s="359" t="s">
        <v>63</v>
      </c>
      <c r="B87" s="359"/>
      <c r="C87" s="359"/>
      <c r="D87" s="359"/>
      <c r="E87" s="359"/>
      <c r="F87" s="359"/>
      <c r="G87" s="359"/>
      <c r="H87" s="359"/>
      <c r="I87" s="359"/>
      <c r="J87" s="359"/>
      <c r="K87" s="359"/>
      <c r="L87" s="359"/>
      <c r="M87" s="359"/>
      <c r="N87" s="359"/>
      <c r="O87" s="359"/>
      <c r="P87" s="359"/>
      <c r="Q87" s="359"/>
      <c r="R87" s="359"/>
      <c r="S87" s="115"/>
      <c r="T87" s="115"/>
      <c r="U87" s="115"/>
      <c r="V87" s="115"/>
      <c r="W87" s="115"/>
      <c r="X87" s="115"/>
      <c r="Y87" s="115"/>
      <c r="Z87" s="115"/>
      <c r="AA87" s="115"/>
      <c r="AB87" s="115"/>
      <c r="AC87" s="115"/>
      <c r="AD87" s="115"/>
      <c r="AE87" s="115"/>
      <c r="AF87" s="115"/>
      <c r="AG87" s="112"/>
    </row>
    <row r="88" spans="1:33" x14ac:dyDescent="0.25">
      <c r="A88" s="360" t="s">
        <v>64</v>
      </c>
      <c r="B88" s="360"/>
      <c r="C88" s="360"/>
      <c r="D88" s="360"/>
      <c r="E88" s="360"/>
      <c r="F88" s="360"/>
      <c r="G88" s="360"/>
      <c r="H88" s="360"/>
      <c r="I88" s="360"/>
      <c r="J88" s="360"/>
      <c r="K88" s="360"/>
      <c r="L88" s="360"/>
      <c r="M88" s="360"/>
      <c r="N88" s="360"/>
      <c r="O88" s="360"/>
      <c r="P88" s="360"/>
      <c r="Q88" s="360"/>
      <c r="R88" s="360"/>
      <c r="S88" s="116"/>
      <c r="T88" s="116"/>
      <c r="U88" s="116"/>
      <c r="V88" s="116"/>
      <c r="W88" s="116"/>
      <c r="X88" s="116"/>
      <c r="Y88" s="116"/>
      <c r="Z88" s="116"/>
      <c r="AA88" s="116"/>
      <c r="AB88" s="116"/>
      <c r="AC88" s="116"/>
      <c r="AD88" s="116"/>
      <c r="AE88" s="116"/>
      <c r="AF88" s="116"/>
      <c r="AG88" s="112"/>
    </row>
    <row r="89" spans="1:33" ht="15.75" thickBot="1" x14ac:dyDescent="0.3">
      <c r="A89" s="361"/>
      <c r="B89" s="361"/>
      <c r="C89" s="361"/>
      <c r="D89" s="361"/>
      <c r="E89" s="361"/>
      <c r="F89" s="361"/>
      <c r="G89" s="361"/>
      <c r="H89" s="361"/>
      <c r="I89" s="361"/>
      <c r="J89" s="361"/>
      <c r="K89" s="361"/>
      <c r="L89" s="361"/>
      <c r="M89" s="361"/>
      <c r="N89" s="361"/>
      <c r="O89" s="361"/>
      <c r="P89" s="361"/>
      <c r="Q89" s="361"/>
      <c r="R89" s="361"/>
      <c r="S89" s="361"/>
      <c r="T89" s="361"/>
      <c r="U89" s="361"/>
      <c r="V89" s="361"/>
      <c r="W89" s="361"/>
      <c r="X89" s="361"/>
      <c r="Y89" s="361"/>
      <c r="Z89" s="361"/>
      <c r="AA89" s="361"/>
      <c r="AB89" s="361"/>
      <c r="AC89" s="361"/>
      <c r="AD89" s="361"/>
      <c r="AE89" s="361"/>
      <c r="AF89" s="361"/>
      <c r="AG89" s="112"/>
    </row>
    <row r="90" spans="1:33" ht="15.75" thickTop="1" x14ac:dyDescent="0.25">
      <c r="A90" s="283"/>
      <c r="B90" s="283"/>
      <c r="C90" s="283"/>
      <c r="D90" s="283"/>
      <c r="E90" s="283"/>
      <c r="F90" s="283"/>
      <c r="G90" s="283"/>
      <c r="H90" s="283"/>
      <c r="I90" s="283"/>
      <c r="J90" s="283"/>
      <c r="K90" s="283"/>
      <c r="L90" s="283"/>
      <c r="M90" s="283"/>
      <c r="N90" s="283"/>
      <c r="O90" s="283"/>
      <c r="P90" s="283"/>
      <c r="Q90" s="283"/>
      <c r="R90" s="283"/>
      <c r="S90" s="283"/>
      <c r="T90" s="283"/>
      <c r="U90" s="283"/>
      <c r="V90" s="283"/>
      <c r="W90" s="283"/>
      <c r="X90" s="283"/>
      <c r="Y90" s="283"/>
      <c r="Z90" s="283"/>
      <c r="AA90" s="283"/>
      <c r="AB90" s="283"/>
      <c r="AC90" s="283"/>
      <c r="AD90" s="283"/>
      <c r="AE90" s="283"/>
      <c r="AF90" s="283"/>
      <c r="AG90" s="112"/>
    </row>
    <row r="91" spans="1:33" ht="18" x14ac:dyDescent="0.25">
      <c r="A91" s="363" t="s">
        <v>269</v>
      </c>
      <c r="B91" s="363"/>
      <c r="C91" s="363"/>
      <c r="D91" s="363"/>
      <c r="E91" s="363"/>
      <c r="F91" s="363"/>
      <c r="G91" s="363"/>
      <c r="H91" s="363"/>
      <c r="I91" s="363"/>
      <c r="J91" s="363"/>
      <c r="K91" s="363"/>
      <c r="L91" s="363"/>
      <c r="M91" s="363"/>
      <c r="N91" s="363"/>
      <c r="O91" s="363"/>
      <c r="P91" s="363"/>
      <c r="Q91" s="363"/>
      <c r="R91" s="363"/>
    </row>
    <row r="94" spans="1:33" x14ac:dyDescent="0.25">
      <c r="A94" s="416" t="s">
        <v>270</v>
      </c>
      <c r="B94" s="416"/>
      <c r="C94" s="416"/>
      <c r="D94" s="416"/>
      <c r="E94" s="416"/>
      <c r="F94" s="416"/>
      <c r="G94" s="416"/>
      <c r="H94" s="416"/>
      <c r="I94" s="416"/>
      <c r="J94" s="416"/>
      <c r="K94" s="416"/>
      <c r="L94" s="416"/>
      <c r="M94" s="416"/>
      <c r="N94" s="416"/>
      <c r="O94" s="416"/>
      <c r="P94" s="416"/>
      <c r="Q94" s="416"/>
      <c r="R94" s="416"/>
    </row>
    <row r="95" spans="1:33" x14ac:dyDescent="0.25">
      <c r="A95" s="416"/>
      <c r="B95" s="416"/>
      <c r="C95" s="416"/>
      <c r="D95" s="416"/>
      <c r="E95" s="416"/>
      <c r="F95" s="416"/>
      <c r="G95" s="416"/>
      <c r="H95" s="416"/>
      <c r="I95" s="416"/>
      <c r="J95" s="416"/>
      <c r="K95" s="416"/>
      <c r="L95" s="416"/>
      <c r="M95" s="416"/>
      <c r="N95" s="416"/>
      <c r="O95" s="416"/>
      <c r="P95" s="416"/>
      <c r="Q95" s="416"/>
      <c r="R95" s="416"/>
      <c r="S95" s="293"/>
    </row>
    <row r="96" spans="1:33" x14ac:dyDescent="0.25">
      <c r="A96" s="416"/>
      <c r="B96" s="416"/>
      <c r="C96" s="416"/>
      <c r="D96" s="416"/>
      <c r="E96" s="416"/>
      <c r="F96" s="416"/>
      <c r="G96" s="416"/>
      <c r="H96" s="416"/>
      <c r="I96" s="416"/>
      <c r="J96" s="416"/>
      <c r="K96" s="416"/>
      <c r="L96" s="416"/>
      <c r="M96" s="416"/>
      <c r="N96" s="416"/>
      <c r="O96" s="416"/>
      <c r="P96" s="416"/>
      <c r="Q96" s="416"/>
      <c r="R96" s="416"/>
    </row>
    <row r="97" spans="1:18" x14ac:dyDescent="0.25">
      <c r="A97" s="416"/>
      <c r="B97" s="416"/>
      <c r="C97" s="416"/>
      <c r="D97" s="416"/>
      <c r="E97" s="416"/>
      <c r="F97" s="416"/>
      <c r="G97" s="416"/>
      <c r="H97" s="416"/>
      <c r="I97" s="416"/>
      <c r="J97" s="416"/>
      <c r="K97" s="416"/>
      <c r="L97" s="416"/>
      <c r="M97" s="416"/>
      <c r="N97" s="416"/>
      <c r="O97" s="416"/>
      <c r="P97" s="416"/>
      <c r="Q97" s="416"/>
      <c r="R97" s="416"/>
    </row>
    <row r="98" spans="1:18" x14ac:dyDescent="0.25">
      <c r="B98" s="297" t="s">
        <v>271</v>
      </c>
      <c r="C98" s="296" t="s">
        <v>272</v>
      </c>
    </row>
    <row r="99" spans="1:18" x14ac:dyDescent="0.25">
      <c r="B99" s="297" t="s">
        <v>273</v>
      </c>
      <c r="C99" s="296" t="s">
        <v>274</v>
      </c>
    </row>
    <row r="100" spans="1:18" x14ac:dyDescent="0.25">
      <c r="B100" s="297" t="s">
        <v>276</v>
      </c>
      <c r="C100" s="296" t="s">
        <v>275</v>
      </c>
    </row>
    <row r="102" spans="1:18" x14ac:dyDescent="0.25">
      <c r="A102" s="296" t="s">
        <v>277</v>
      </c>
    </row>
    <row r="103" spans="1:18" x14ac:dyDescent="0.25">
      <c r="B103" s="298" t="s">
        <v>53</v>
      </c>
      <c r="C103" s="296" t="s">
        <v>278</v>
      </c>
    </row>
    <row r="104" spans="1:18" x14ac:dyDescent="0.25">
      <c r="B104" s="298" t="s">
        <v>53</v>
      </c>
      <c r="C104" s="296" t="s">
        <v>279</v>
      </c>
    </row>
    <row r="105" spans="1:18" x14ac:dyDescent="0.25">
      <c r="B105" s="298"/>
      <c r="C105" s="296"/>
    </row>
    <row r="106" spans="1:18" x14ac:dyDescent="0.25">
      <c r="B106" s="297" t="s">
        <v>271</v>
      </c>
      <c r="C106" s="296" t="s">
        <v>280</v>
      </c>
    </row>
    <row r="107" spans="1:18" x14ac:dyDescent="0.25">
      <c r="B107" s="297" t="s">
        <v>273</v>
      </c>
      <c r="C107" s="296" t="s">
        <v>283</v>
      </c>
      <c r="D107" s="296" t="s">
        <v>282</v>
      </c>
    </row>
    <row r="108" spans="1:18" x14ac:dyDescent="0.25">
      <c r="B108" s="297" t="s">
        <v>281</v>
      </c>
      <c r="C108" s="296" t="s">
        <v>284</v>
      </c>
    </row>
    <row r="119" spans="2:2" x14ac:dyDescent="0.25">
      <c r="B119" t="s">
        <v>285</v>
      </c>
    </row>
    <row r="120" spans="2:2" x14ac:dyDescent="0.25">
      <c r="B120" s="253" t="s">
        <v>225</v>
      </c>
    </row>
  </sheetData>
  <mergeCells count="75">
    <mergeCell ref="A43:A45"/>
    <mergeCell ref="B43:B45"/>
    <mergeCell ref="C43:C45"/>
    <mergeCell ref="D43:H43"/>
    <mergeCell ref="I43:R43"/>
    <mergeCell ref="D44:H44"/>
    <mergeCell ref="I44:M44"/>
    <mergeCell ref="N44:R44"/>
    <mergeCell ref="A94:R97"/>
    <mergeCell ref="A86:R86"/>
    <mergeCell ref="A87:R87"/>
    <mergeCell ref="A88:R88"/>
    <mergeCell ref="A89:AF89"/>
    <mergeCell ref="A91:R91"/>
    <mergeCell ref="N72:N75"/>
    <mergeCell ref="O72:O75"/>
    <mergeCell ref="R72:R75"/>
    <mergeCell ref="N10:R10"/>
    <mergeCell ref="I9:R9"/>
    <mergeCell ref="N62:N65"/>
    <mergeCell ref="O62:O65"/>
    <mergeCell ref="R62:R65"/>
    <mergeCell ref="N68:N71"/>
    <mergeCell ref="O68:O71"/>
    <mergeCell ref="P68:P71"/>
    <mergeCell ref="Q68:Q71"/>
    <mergeCell ref="R68:R71"/>
    <mergeCell ref="N52:N55"/>
    <mergeCell ref="O52:O55"/>
    <mergeCell ref="R52:R55"/>
    <mergeCell ref="N58:N61"/>
    <mergeCell ref="O58:O61"/>
    <mergeCell ref="P58:P61"/>
    <mergeCell ref="Q58:Q61"/>
    <mergeCell ref="R58:R61"/>
    <mergeCell ref="N38:N41"/>
    <mergeCell ref="O38:O41"/>
    <mergeCell ref="R38:R41"/>
    <mergeCell ref="N48:N51"/>
    <mergeCell ref="O48:O51"/>
    <mergeCell ref="P48:P51"/>
    <mergeCell ref="Q48:Q51"/>
    <mergeCell ref="R48:R51"/>
    <mergeCell ref="N28:N31"/>
    <mergeCell ref="O28:O31"/>
    <mergeCell ref="R28:R31"/>
    <mergeCell ref="N34:N37"/>
    <mergeCell ref="O34:O37"/>
    <mergeCell ref="P34:P37"/>
    <mergeCell ref="Q34:Q37"/>
    <mergeCell ref="R34:R37"/>
    <mergeCell ref="R18:R21"/>
    <mergeCell ref="N24:N27"/>
    <mergeCell ref="O24:O27"/>
    <mergeCell ref="P24:P27"/>
    <mergeCell ref="Q24:Q27"/>
    <mergeCell ref="R24:R27"/>
    <mergeCell ref="N18:N21"/>
    <mergeCell ref="O18:O21"/>
    <mergeCell ref="A2:R2"/>
    <mergeCell ref="A3:R3"/>
    <mergeCell ref="A4:R4"/>
    <mergeCell ref="Q14:Q17"/>
    <mergeCell ref="R14:R17"/>
    <mergeCell ref="N14:N17"/>
    <mergeCell ref="O14:O17"/>
    <mergeCell ref="P14:P17"/>
    <mergeCell ref="A9:A11"/>
    <mergeCell ref="A5:AF5"/>
    <mergeCell ref="D9:H9"/>
    <mergeCell ref="D10:H10"/>
    <mergeCell ref="I10:M10"/>
    <mergeCell ref="C9:C11"/>
    <mergeCell ref="B9:B11"/>
    <mergeCell ref="A7:R7"/>
  </mergeCells>
  <hyperlinks>
    <hyperlink ref="S80" r:id="rId1" xr:uid="{00000000-0004-0000-0400-000000000000}"/>
    <hyperlink ref="B120" r:id="rId2" xr:uid="{00000000-0004-0000-0400-000001000000}"/>
  </hyperlinks>
  <printOptions horizontalCentered="1"/>
  <pageMargins left="0.19685039370078741" right="0.19685039370078741" top="0.59055118110236227" bottom="0.47244094488188981" header="0.31496062992125984" footer="0.31496062992125984"/>
  <pageSetup paperSize="9" scale="80" orientation="landscape" horizontalDpi="4294967293" verticalDpi="0"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4:Q25"/>
  <sheetViews>
    <sheetView topLeftCell="A7" zoomScale="85" zoomScaleNormal="85" workbookViewId="0">
      <selection activeCell="I8" sqref="I8"/>
    </sheetView>
  </sheetViews>
  <sheetFormatPr defaultRowHeight="15" x14ac:dyDescent="0.25"/>
  <cols>
    <col min="2" max="2" width="5" customWidth="1"/>
    <col min="3" max="3" width="8.5703125" customWidth="1"/>
    <col min="4" max="4" width="10.42578125" customWidth="1"/>
    <col min="5" max="5" width="12.140625" customWidth="1"/>
    <col min="6" max="6" width="12.42578125" customWidth="1"/>
    <col min="7" max="7" width="17.85546875" customWidth="1"/>
    <col min="10" max="11" width="2.85546875" customWidth="1"/>
    <col min="12" max="12" width="16.7109375" bestFit="1" customWidth="1"/>
    <col min="13" max="13" width="2.85546875" customWidth="1"/>
    <col min="14" max="14" width="10.5703125" bestFit="1" customWidth="1"/>
    <col min="15" max="15" width="9.140625" bestFit="1" customWidth="1"/>
    <col min="16" max="16" width="2" bestFit="1" customWidth="1"/>
  </cols>
  <sheetData>
    <row r="4" spans="2:17" ht="15.75" thickBot="1" x14ac:dyDescent="0.3"/>
    <row r="5" spans="2:17" ht="49.5" customHeight="1" thickTop="1" thickBot="1" x14ac:dyDescent="0.3">
      <c r="B5" s="93" t="s">
        <v>107</v>
      </c>
      <c r="C5" s="94" t="s">
        <v>108</v>
      </c>
      <c r="D5" s="94" t="s">
        <v>109</v>
      </c>
      <c r="E5" s="95" t="s">
        <v>110</v>
      </c>
      <c r="F5" s="95" t="s">
        <v>112</v>
      </c>
      <c r="G5" s="96" t="s">
        <v>113</v>
      </c>
    </row>
    <row r="6" spans="2:17" ht="16.5" thickTop="1" x14ac:dyDescent="0.25">
      <c r="B6" s="79">
        <v>1</v>
      </c>
      <c r="C6" s="80">
        <v>2013</v>
      </c>
      <c r="D6" s="80">
        <v>84.04</v>
      </c>
      <c r="E6" s="80"/>
      <c r="F6" s="80"/>
      <c r="G6" s="81"/>
    </row>
    <row r="7" spans="2:17" ht="15.75" x14ac:dyDescent="0.25">
      <c r="B7" s="82"/>
      <c r="C7" s="83"/>
      <c r="D7" s="83"/>
      <c r="E7" s="83">
        <f>D8-D6</f>
        <v>-9.25</v>
      </c>
      <c r="F7" s="84">
        <v>12290.85</v>
      </c>
      <c r="G7" s="85" t="s">
        <v>103</v>
      </c>
    </row>
    <row r="8" spans="2:17" ht="15.75" x14ac:dyDescent="0.25">
      <c r="B8" s="82">
        <v>2</v>
      </c>
      <c r="C8" s="83">
        <v>2014</v>
      </c>
      <c r="D8" s="83">
        <v>74.790000000000006</v>
      </c>
      <c r="E8" s="83"/>
      <c r="F8" s="84"/>
      <c r="G8" s="86"/>
    </row>
    <row r="9" spans="2:17" ht="15.75" x14ac:dyDescent="0.25">
      <c r="B9" s="82"/>
      <c r="C9" s="83"/>
      <c r="D9" s="83"/>
      <c r="E9" s="83">
        <f>D10-D8</f>
        <v>1.8900000000000006</v>
      </c>
      <c r="F9" s="84">
        <v>28781.06</v>
      </c>
      <c r="G9" s="86"/>
      <c r="I9">
        <f>E9</f>
        <v>1.8900000000000006</v>
      </c>
      <c r="K9" t="s">
        <v>45</v>
      </c>
      <c r="L9" s="75">
        <f>F9</f>
        <v>28781.06</v>
      </c>
      <c r="N9" t="s">
        <v>104</v>
      </c>
      <c r="O9">
        <f>I9</f>
        <v>1.8900000000000006</v>
      </c>
      <c r="P9" t="s">
        <v>45</v>
      </c>
      <c r="Q9" t="s">
        <v>105</v>
      </c>
    </row>
    <row r="10" spans="2:17" ht="15.75" x14ac:dyDescent="0.25">
      <c r="B10" s="82">
        <v>3</v>
      </c>
      <c r="C10" s="83">
        <v>2015</v>
      </c>
      <c r="D10" s="83">
        <v>76.680000000000007</v>
      </c>
      <c r="E10" s="83"/>
      <c r="F10" s="84"/>
      <c r="G10" s="86"/>
      <c r="L10" s="75"/>
      <c r="O10" s="76">
        <f>L9</f>
        <v>28781.06</v>
      </c>
      <c r="P10" t="s">
        <v>45</v>
      </c>
      <c r="Q10" t="s">
        <v>106</v>
      </c>
    </row>
    <row r="11" spans="2:17" ht="15.75" x14ac:dyDescent="0.25">
      <c r="B11" s="82"/>
      <c r="C11" s="83"/>
      <c r="D11" s="83"/>
      <c r="E11" s="83">
        <f>D12-D10</f>
        <v>2.769999999999996</v>
      </c>
      <c r="F11" s="84">
        <v>56224.05</v>
      </c>
      <c r="G11" s="86"/>
      <c r="I11">
        <f>E11</f>
        <v>2.769999999999996</v>
      </c>
      <c r="K11" t="s">
        <v>45</v>
      </c>
      <c r="L11" s="75">
        <f>F11</f>
        <v>56224.05</v>
      </c>
    </row>
    <row r="12" spans="2:17" ht="15.75" x14ac:dyDescent="0.25">
      <c r="B12" s="82">
        <v>4</v>
      </c>
      <c r="C12" s="83">
        <v>2016</v>
      </c>
      <c r="D12" s="83">
        <v>79.45</v>
      </c>
      <c r="E12" s="83"/>
      <c r="F12" s="84"/>
      <c r="G12" s="86"/>
      <c r="L12" s="75"/>
    </row>
    <row r="13" spans="2:17" ht="15.75" x14ac:dyDescent="0.25">
      <c r="B13" s="82"/>
      <c r="C13" s="83"/>
      <c r="D13" s="83"/>
      <c r="E13" s="83">
        <f>D14-D12</f>
        <v>-15.64</v>
      </c>
      <c r="F13" s="84">
        <v>49226.2</v>
      </c>
      <c r="G13" s="85" t="s">
        <v>103</v>
      </c>
      <c r="I13" s="73"/>
      <c r="J13" s="73" t="s">
        <v>105</v>
      </c>
      <c r="K13" t="s">
        <v>45</v>
      </c>
      <c r="L13" s="75">
        <f>L9</f>
        <v>28781.06</v>
      </c>
    </row>
    <row r="14" spans="2:17" ht="15.75" x14ac:dyDescent="0.25">
      <c r="B14" s="82">
        <v>5</v>
      </c>
      <c r="C14" s="83">
        <v>2017</v>
      </c>
      <c r="D14" s="83">
        <v>63.81</v>
      </c>
      <c r="E14" s="83"/>
      <c r="F14" s="84"/>
      <c r="G14" s="86"/>
      <c r="I14" s="34">
        <f>I11/I9</f>
        <v>1.4656084656084631</v>
      </c>
      <c r="J14" t="s">
        <v>105</v>
      </c>
      <c r="K14" t="s">
        <v>45</v>
      </c>
      <c r="L14" s="75">
        <f>I14*L13</f>
        <v>42181.765185185119</v>
      </c>
      <c r="M14" t="s">
        <v>47</v>
      </c>
      <c r="N14" s="78">
        <f>L11-L14</f>
        <v>14042.284814814884</v>
      </c>
    </row>
    <row r="15" spans="2:17" ht="15.75" x14ac:dyDescent="0.25">
      <c r="B15" s="82"/>
      <c r="C15" s="83"/>
      <c r="D15" s="83"/>
      <c r="E15" s="83">
        <f>$A$21/5</f>
        <v>3.2379999999999995</v>
      </c>
      <c r="F15" s="84">
        <f>L16</f>
        <v>65723.275776173366</v>
      </c>
      <c r="G15" s="86"/>
      <c r="I15" s="34">
        <f>E15/I9</f>
        <v>1.7132275132275125</v>
      </c>
      <c r="J15" t="s">
        <v>105</v>
      </c>
      <c r="K15" t="s">
        <v>45</v>
      </c>
      <c r="L15" s="92">
        <f>L13*I15</f>
        <v>49308.503851851834</v>
      </c>
      <c r="M15" t="s">
        <v>47</v>
      </c>
      <c r="N15" s="75">
        <f>(N14*I15)/I14</f>
        <v>16414.771924321536</v>
      </c>
    </row>
    <row r="16" spans="2:17" ht="15.75" x14ac:dyDescent="0.25">
      <c r="B16" s="87">
        <v>6</v>
      </c>
      <c r="C16" s="83">
        <v>2018</v>
      </c>
      <c r="D16" s="83">
        <f>D14+E15</f>
        <v>67.048000000000002</v>
      </c>
      <c r="E16" s="83"/>
      <c r="F16" s="84"/>
      <c r="G16" s="86"/>
      <c r="K16" t="s">
        <v>45</v>
      </c>
      <c r="L16" s="92">
        <f>L15+N15</f>
        <v>65723.275776173366</v>
      </c>
    </row>
    <row r="17" spans="1:12" ht="15.75" x14ac:dyDescent="0.25">
      <c r="B17" s="87"/>
      <c r="C17" s="83"/>
      <c r="D17" s="83"/>
      <c r="E17" s="83">
        <f>$A$21/5</f>
        <v>3.2379999999999995</v>
      </c>
      <c r="F17" s="84">
        <f>F15</f>
        <v>65723.275776173366</v>
      </c>
      <c r="G17" s="86"/>
      <c r="L17" s="78"/>
    </row>
    <row r="18" spans="1:12" ht="15.75" x14ac:dyDescent="0.25">
      <c r="B18" s="87">
        <v>7</v>
      </c>
      <c r="C18" s="83">
        <v>2019</v>
      </c>
      <c r="D18" s="83">
        <f>D16+E17</f>
        <v>70.286000000000001</v>
      </c>
      <c r="E18" s="83"/>
      <c r="F18" s="84"/>
      <c r="G18" s="86"/>
      <c r="I18" s="77"/>
    </row>
    <row r="19" spans="1:12" ht="15.75" x14ac:dyDescent="0.25">
      <c r="B19" s="87"/>
      <c r="C19" s="83"/>
      <c r="D19" s="83"/>
      <c r="E19" s="83">
        <f>$A$21/5</f>
        <v>3.2379999999999995</v>
      </c>
      <c r="F19" s="84">
        <f>F17</f>
        <v>65723.275776173366</v>
      </c>
      <c r="G19" s="86"/>
    </row>
    <row r="20" spans="1:12" ht="15.75" x14ac:dyDescent="0.25">
      <c r="B20" s="87">
        <v>8</v>
      </c>
      <c r="C20" s="83">
        <v>2020</v>
      </c>
      <c r="D20" s="83">
        <f>D18+E19</f>
        <v>73.524000000000001</v>
      </c>
      <c r="E20" s="83"/>
      <c r="F20" s="84"/>
      <c r="G20" s="86"/>
    </row>
    <row r="21" spans="1:12" ht="15.75" x14ac:dyDescent="0.25">
      <c r="A21" s="35">
        <f>D24-D14</f>
        <v>16.189999999999998</v>
      </c>
      <c r="B21" s="87"/>
      <c r="C21" s="83"/>
      <c r="D21" s="83"/>
      <c r="E21" s="83">
        <f>$A$21/5</f>
        <v>3.2379999999999995</v>
      </c>
      <c r="F21" s="84">
        <f>F19</f>
        <v>65723.275776173366</v>
      </c>
      <c r="G21" s="86"/>
    </row>
    <row r="22" spans="1:12" ht="15.75" x14ac:dyDescent="0.25">
      <c r="B22" s="87">
        <v>9</v>
      </c>
      <c r="C22" s="83">
        <v>2021</v>
      </c>
      <c r="D22" s="83">
        <f>D20+E21</f>
        <v>76.762</v>
      </c>
      <c r="E22" s="83"/>
      <c r="F22" s="84"/>
      <c r="G22" s="86"/>
    </row>
    <row r="23" spans="1:12" ht="15.75" x14ac:dyDescent="0.25">
      <c r="B23" s="87"/>
      <c r="C23" s="83"/>
      <c r="D23" s="83"/>
      <c r="E23" s="83">
        <f>$A$21/5</f>
        <v>3.2379999999999995</v>
      </c>
      <c r="F23" s="84">
        <f>F21</f>
        <v>65723.275776173366</v>
      </c>
      <c r="G23" s="86"/>
    </row>
    <row r="24" spans="1:12" ht="16.5" thickBot="1" x14ac:dyDescent="0.3">
      <c r="B24" s="88">
        <v>10</v>
      </c>
      <c r="C24" s="89">
        <v>2022</v>
      </c>
      <c r="D24" s="91">
        <v>80</v>
      </c>
      <c r="E24" s="89"/>
      <c r="F24" s="89"/>
      <c r="G24" s="90" t="s">
        <v>111</v>
      </c>
    </row>
    <row r="25" spans="1:12" ht="15.75" thickTop="1" x14ac:dyDescent="0.25"/>
  </sheetData>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95"/>
  <sheetViews>
    <sheetView view="pageBreakPreview" topLeftCell="A34" zoomScale="85" zoomScaleNormal="100" zoomScaleSheetLayoutView="85" workbookViewId="0">
      <selection activeCell="B87" sqref="B87"/>
    </sheetView>
  </sheetViews>
  <sheetFormatPr defaultRowHeight="15" x14ac:dyDescent="0.25"/>
  <cols>
    <col min="1" max="1" width="17.28515625" customWidth="1"/>
    <col min="2" max="6" width="33.7109375" customWidth="1"/>
  </cols>
  <sheetData>
    <row r="1" spans="1:5" ht="18.75" x14ac:dyDescent="0.25">
      <c r="A1" s="419" t="s">
        <v>267</v>
      </c>
      <c r="B1" s="419"/>
      <c r="C1" s="419"/>
      <c r="D1" s="419"/>
      <c r="E1" s="419"/>
    </row>
    <row r="2" spans="1:5" x14ac:dyDescent="0.25">
      <c r="A2" t="s">
        <v>257</v>
      </c>
      <c r="B2" t="s">
        <v>101</v>
      </c>
    </row>
    <row r="3" spans="1:5" x14ac:dyDescent="0.25">
      <c r="A3" t="s">
        <v>256</v>
      </c>
      <c r="B3" t="s">
        <v>101</v>
      </c>
    </row>
    <row r="4" spans="1:5" x14ac:dyDescent="0.25">
      <c r="A4" t="s">
        <v>258</v>
      </c>
      <c r="B4" t="s">
        <v>101</v>
      </c>
    </row>
    <row r="5" spans="1:5" ht="12" customHeight="1" x14ac:dyDescent="0.25"/>
    <row r="6" spans="1:5" x14ac:dyDescent="0.25">
      <c r="A6" s="291" t="s">
        <v>192</v>
      </c>
      <c r="B6" s="292" t="s">
        <v>264</v>
      </c>
      <c r="C6" s="292" t="s">
        <v>265</v>
      </c>
      <c r="D6" s="417" t="s">
        <v>195</v>
      </c>
      <c r="E6" s="417" t="s">
        <v>262</v>
      </c>
    </row>
    <row r="7" spans="1:5" ht="30" x14ac:dyDescent="0.25">
      <c r="A7" s="291" t="s">
        <v>259</v>
      </c>
      <c r="B7" s="292" t="s">
        <v>260</v>
      </c>
      <c r="C7" s="292" t="s">
        <v>261</v>
      </c>
      <c r="D7" s="418"/>
      <c r="E7" s="418"/>
    </row>
    <row r="8" spans="1:5" s="284" customFormat="1" x14ac:dyDescent="0.25">
      <c r="A8" s="289" t="s">
        <v>263</v>
      </c>
      <c r="B8" s="290"/>
      <c r="C8" s="290"/>
      <c r="D8" s="290"/>
      <c r="E8" s="290"/>
    </row>
    <row r="9" spans="1:5" s="284" customFormat="1" ht="48" customHeight="1" x14ac:dyDescent="0.25">
      <c r="A9" s="285" t="s">
        <v>209</v>
      </c>
      <c r="B9" s="286"/>
      <c r="C9" s="286"/>
      <c r="D9" s="286"/>
      <c r="E9" s="286"/>
    </row>
    <row r="10" spans="1:5" s="284" customFormat="1" ht="48" customHeight="1" x14ac:dyDescent="0.25">
      <c r="A10" s="285" t="s">
        <v>210</v>
      </c>
      <c r="B10" s="286"/>
      <c r="C10" s="286"/>
      <c r="D10" s="286"/>
      <c r="E10" s="286"/>
    </row>
    <row r="11" spans="1:5" s="284" customFormat="1" ht="48" customHeight="1" x14ac:dyDescent="0.25">
      <c r="A11" s="285" t="s">
        <v>211</v>
      </c>
      <c r="B11" s="286"/>
      <c r="C11" s="286"/>
      <c r="D11" s="286"/>
      <c r="E11" s="286"/>
    </row>
    <row r="12" spans="1:5" s="284" customFormat="1" ht="48" customHeight="1" x14ac:dyDescent="0.25">
      <c r="A12" s="287" t="s">
        <v>212</v>
      </c>
      <c r="B12" s="288"/>
      <c r="C12" s="288"/>
      <c r="D12" s="288"/>
      <c r="E12" s="288"/>
    </row>
    <row r="13" spans="1:5" s="284" customFormat="1" x14ac:dyDescent="0.25">
      <c r="A13" s="289" t="s">
        <v>266</v>
      </c>
      <c r="B13" s="290"/>
      <c r="C13" s="290"/>
      <c r="D13" s="290"/>
      <c r="E13" s="290"/>
    </row>
    <row r="14" spans="1:5" s="284" customFormat="1" ht="48" customHeight="1" x14ac:dyDescent="0.25">
      <c r="A14" s="275" t="s">
        <v>213</v>
      </c>
      <c r="B14" s="286"/>
      <c r="C14" s="286"/>
      <c r="D14" s="286"/>
      <c r="E14" s="286"/>
    </row>
    <row r="15" spans="1:5" s="284" customFormat="1" ht="48" customHeight="1" x14ac:dyDescent="0.25">
      <c r="A15" s="275" t="s">
        <v>214</v>
      </c>
      <c r="B15" s="286"/>
      <c r="C15" s="286"/>
      <c r="D15" s="286"/>
      <c r="E15" s="286"/>
    </row>
    <row r="16" spans="1:5" s="284" customFormat="1" ht="48" customHeight="1" x14ac:dyDescent="0.25">
      <c r="A16" s="275" t="s">
        <v>215</v>
      </c>
      <c r="B16" s="286"/>
      <c r="C16" s="286"/>
      <c r="D16" s="286"/>
      <c r="E16" s="286"/>
    </row>
    <row r="17" spans="1:5" s="284" customFormat="1" ht="48" customHeight="1" x14ac:dyDescent="0.25">
      <c r="A17" s="105" t="s">
        <v>216</v>
      </c>
      <c r="B17" s="288"/>
      <c r="C17" s="288"/>
      <c r="D17" s="288"/>
      <c r="E17" s="288"/>
    </row>
    <row r="19" spans="1:5" x14ac:dyDescent="0.25">
      <c r="A19" s="291" t="s">
        <v>192</v>
      </c>
      <c r="B19" s="292" t="s">
        <v>264</v>
      </c>
      <c r="C19" s="292" t="s">
        <v>265</v>
      </c>
      <c r="D19" s="417" t="s">
        <v>195</v>
      </c>
      <c r="E19" s="417" t="s">
        <v>262</v>
      </c>
    </row>
    <row r="20" spans="1:5" ht="30" x14ac:dyDescent="0.25">
      <c r="A20" s="291" t="s">
        <v>259</v>
      </c>
      <c r="B20" s="292" t="s">
        <v>260</v>
      </c>
      <c r="C20" s="292" t="s">
        <v>261</v>
      </c>
      <c r="D20" s="418"/>
      <c r="E20" s="418"/>
    </row>
    <row r="21" spans="1:5" s="284" customFormat="1" x14ac:dyDescent="0.25">
      <c r="A21" s="289" t="s">
        <v>263</v>
      </c>
      <c r="B21" s="290"/>
      <c r="C21" s="290"/>
      <c r="D21" s="290"/>
      <c r="E21" s="290"/>
    </row>
    <row r="22" spans="1:5" s="284" customFormat="1" ht="48" customHeight="1" x14ac:dyDescent="0.25">
      <c r="A22" s="285" t="s">
        <v>209</v>
      </c>
      <c r="B22" s="286"/>
      <c r="C22" s="286"/>
      <c r="D22" s="286"/>
      <c r="E22" s="286"/>
    </row>
    <row r="23" spans="1:5" s="284" customFormat="1" ht="48" customHeight="1" x14ac:dyDescent="0.25">
      <c r="A23" s="285" t="s">
        <v>210</v>
      </c>
      <c r="B23" s="286"/>
      <c r="C23" s="286"/>
      <c r="D23" s="286"/>
      <c r="E23" s="286"/>
    </row>
    <row r="24" spans="1:5" s="284" customFormat="1" ht="48" customHeight="1" x14ac:dyDescent="0.25">
      <c r="A24" s="285" t="s">
        <v>211</v>
      </c>
      <c r="B24" s="286"/>
      <c r="C24" s="286"/>
      <c r="D24" s="286"/>
      <c r="E24" s="286"/>
    </row>
    <row r="25" spans="1:5" s="284" customFormat="1" ht="48" customHeight="1" x14ac:dyDescent="0.25">
      <c r="A25" s="287" t="s">
        <v>212</v>
      </c>
      <c r="B25" s="288"/>
      <c r="C25" s="288"/>
      <c r="D25" s="288"/>
      <c r="E25" s="288"/>
    </row>
    <row r="26" spans="1:5" s="284" customFormat="1" x14ac:dyDescent="0.25">
      <c r="A26" s="289" t="s">
        <v>266</v>
      </c>
      <c r="B26" s="290"/>
      <c r="C26" s="290"/>
      <c r="D26" s="290"/>
      <c r="E26" s="290"/>
    </row>
    <row r="27" spans="1:5" s="284" customFormat="1" ht="48" customHeight="1" x14ac:dyDescent="0.25">
      <c r="A27" s="275" t="s">
        <v>213</v>
      </c>
      <c r="B27" s="286"/>
      <c r="C27" s="286"/>
      <c r="D27" s="286"/>
      <c r="E27" s="286"/>
    </row>
    <row r="28" spans="1:5" s="284" customFormat="1" ht="48" customHeight="1" x14ac:dyDescent="0.25">
      <c r="A28" s="275" t="s">
        <v>214</v>
      </c>
      <c r="B28" s="286"/>
      <c r="C28" s="286"/>
      <c r="D28" s="286"/>
      <c r="E28" s="286"/>
    </row>
    <row r="29" spans="1:5" s="284" customFormat="1" ht="48" customHeight="1" x14ac:dyDescent="0.25">
      <c r="A29" s="275" t="s">
        <v>215</v>
      </c>
      <c r="B29" s="286"/>
      <c r="C29" s="286"/>
      <c r="D29" s="286"/>
      <c r="E29" s="286"/>
    </row>
    <row r="30" spans="1:5" s="284" customFormat="1" ht="48" customHeight="1" x14ac:dyDescent="0.25">
      <c r="A30" s="105" t="s">
        <v>216</v>
      </c>
      <c r="B30" s="288"/>
      <c r="C30" s="288"/>
      <c r="D30" s="288"/>
      <c r="E30" s="288"/>
    </row>
    <row r="32" spans="1:5" x14ac:dyDescent="0.25">
      <c r="A32" s="291" t="s">
        <v>192</v>
      </c>
      <c r="B32" s="292" t="s">
        <v>264</v>
      </c>
      <c r="C32" s="292" t="s">
        <v>265</v>
      </c>
      <c r="D32" s="417" t="s">
        <v>195</v>
      </c>
      <c r="E32" s="417" t="s">
        <v>262</v>
      </c>
    </row>
    <row r="33" spans="1:5" ht="30" x14ac:dyDescent="0.25">
      <c r="A33" s="291" t="s">
        <v>259</v>
      </c>
      <c r="B33" s="292" t="s">
        <v>260</v>
      </c>
      <c r="C33" s="292" t="s">
        <v>261</v>
      </c>
      <c r="D33" s="418"/>
      <c r="E33" s="418"/>
    </row>
    <row r="34" spans="1:5" s="284" customFormat="1" x14ac:dyDescent="0.25">
      <c r="A34" s="289" t="s">
        <v>263</v>
      </c>
      <c r="B34" s="290"/>
      <c r="C34" s="290"/>
      <c r="D34" s="290"/>
      <c r="E34" s="290"/>
    </row>
    <row r="35" spans="1:5" s="284" customFormat="1" ht="48" customHeight="1" x14ac:dyDescent="0.25">
      <c r="A35" s="285" t="s">
        <v>209</v>
      </c>
      <c r="B35" s="286"/>
      <c r="C35" s="286"/>
      <c r="D35" s="286"/>
      <c r="E35" s="286"/>
    </row>
    <row r="36" spans="1:5" s="284" customFormat="1" ht="48" customHeight="1" x14ac:dyDescent="0.25">
      <c r="A36" s="285" t="s">
        <v>210</v>
      </c>
      <c r="B36" s="286"/>
      <c r="C36" s="286"/>
      <c r="D36" s="286"/>
      <c r="E36" s="286"/>
    </row>
    <row r="37" spans="1:5" s="284" customFormat="1" ht="48" customHeight="1" x14ac:dyDescent="0.25">
      <c r="A37" s="285" t="s">
        <v>211</v>
      </c>
      <c r="B37" s="286"/>
      <c r="C37" s="286"/>
      <c r="D37" s="286"/>
      <c r="E37" s="286"/>
    </row>
    <row r="38" spans="1:5" s="284" customFormat="1" ht="48" customHeight="1" x14ac:dyDescent="0.25">
      <c r="A38" s="287" t="s">
        <v>212</v>
      </c>
      <c r="B38" s="288"/>
      <c r="C38" s="288"/>
      <c r="D38" s="288"/>
      <c r="E38" s="288"/>
    </row>
    <row r="39" spans="1:5" s="284" customFormat="1" x14ac:dyDescent="0.25">
      <c r="A39" s="289" t="s">
        <v>266</v>
      </c>
      <c r="B39" s="290"/>
      <c r="C39" s="290"/>
      <c r="D39" s="290"/>
      <c r="E39" s="290"/>
    </row>
    <row r="40" spans="1:5" s="284" customFormat="1" ht="48" customHeight="1" x14ac:dyDescent="0.25">
      <c r="A40" s="275" t="s">
        <v>213</v>
      </c>
      <c r="B40" s="286"/>
      <c r="C40" s="286"/>
      <c r="D40" s="286"/>
      <c r="E40" s="286"/>
    </row>
    <row r="41" spans="1:5" s="284" customFormat="1" ht="48" customHeight="1" x14ac:dyDescent="0.25">
      <c r="A41" s="275" t="s">
        <v>214</v>
      </c>
      <c r="B41" s="286"/>
      <c r="C41" s="286"/>
      <c r="D41" s="286"/>
      <c r="E41" s="286"/>
    </row>
    <row r="42" spans="1:5" s="284" customFormat="1" ht="48" customHeight="1" x14ac:dyDescent="0.25">
      <c r="A42" s="275" t="s">
        <v>215</v>
      </c>
      <c r="B42" s="286"/>
      <c r="C42" s="286"/>
      <c r="D42" s="286"/>
      <c r="E42" s="286"/>
    </row>
    <row r="43" spans="1:5" s="284" customFormat="1" ht="48" customHeight="1" x14ac:dyDescent="0.25">
      <c r="A43" s="105" t="s">
        <v>216</v>
      </c>
      <c r="B43" s="288"/>
      <c r="C43" s="288"/>
      <c r="D43" s="288"/>
      <c r="E43" s="288"/>
    </row>
    <row r="45" spans="1:5" x14ac:dyDescent="0.25">
      <c r="A45" s="291" t="s">
        <v>192</v>
      </c>
      <c r="B45" s="292" t="s">
        <v>264</v>
      </c>
      <c r="C45" s="292" t="s">
        <v>265</v>
      </c>
      <c r="D45" s="417" t="s">
        <v>195</v>
      </c>
      <c r="E45" s="417" t="s">
        <v>262</v>
      </c>
    </row>
    <row r="46" spans="1:5" ht="30" x14ac:dyDescent="0.25">
      <c r="A46" s="291" t="s">
        <v>259</v>
      </c>
      <c r="B46" s="292" t="s">
        <v>260</v>
      </c>
      <c r="C46" s="292" t="s">
        <v>261</v>
      </c>
      <c r="D46" s="418"/>
      <c r="E46" s="418"/>
    </row>
    <row r="47" spans="1:5" s="284" customFormat="1" x14ac:dyDescent="0.25">
      <c r="A47" s="289" t="s">
        <v>263</v>
      </c>
      <c r="B47" s="290"/>
      <c r="C47" s="290"/>
      <c r="D47" s="290"/>
      <c r="E47" s="290"/>
    </row>
    <row r="48" spans="1:5" s="284" customFormat="1" ht="48" customHeight="1" x14ac:dyDescent="0.25">
      <c r="A48" s="285" t="s">
        <v>209</v>
      </c>
      <c r="B48" s="286"/>
      <c r="C48" s="286"/>
      <c r="D48" s="286"/>
      <c r="E48" s="286"/>
    </row>
    <row r="49" spans="1:5" s="284" customFormat="1" ht="48" customHeight="1" x14ac:dyDescent="0.25">
      <c r="A49" s="285" t="s">
        <v>210</v>
      </c>
      <c r="B49" s="286"/>
      <c r="C49" s="286"/>
      <c r="D49" s="286"/>
      <c r="E49" s="286"/>
    </row>
    <row r="50" spans="1:5" s="284" customFormat="1" ht="48" customHeight="1" x14ac:dyDescent="0.25">
      <c r="A50" s="285" t="s">
        <v>211</v>
      </c>
      <c r="B50" s="286"/>
      <c r="C50" s="286"/>
      <c r="D50" s="286"/>
      <c r="E50" s="286"/>
    </row>
    <row r="51" spans="1:5" s="284" customFormat="1" ht="48" customHeight="1" x14ac:dyDescent="0.25">
      <c r="A51" s="287" t="s">
        <v>212</v>
      </c>
      <c r="B51" s="288"/>
      <c r="C51" s="288"/>
      <c r="D51" s="288"/>
      <c r="E51" s="288"/>
    </row>
    <row r="52" spans="1:5" s="284" customFormat="1" x14ac:dyDescent="0.25">
      <c r="A52" s="289" t="s">
        <v>266</v>
      </c>
      <c r="B52" s="290"/>
      <c r="C52" s="290"/>
      <c r="D52" s="290"/>
      <c r="E52" s="290"/>
    </row>
    <row r="53" spans="1:5" s="284" customFormat="1" ht="48" customHeight="1" x14ac:dyDescent="0.25">
      <c r="A53" s="275" t="s">
        <v>213</v>
      </c>
      <c r="B53" s="286"/>
      <c r="C53" s="286"/>
      <c r="D53" s="286"/>
      <c r="E53" s="286"/>
    </row>
    <row r="54" spans="1:5" s="284" customFormat="1" ht="48" customHeight="1" x14ac:dyDescent="0.25">
      <c r="A54" s="275" t="s">
        <v>214</v>
      </c>
      <c r="B54" s="286"/>
      <c r="C54" s="286"/>
      <c r="D54" s="286"/>
      <c r="E54" s="286"/>
    </row>
    <row r="55" spans="1:5" s="284" customFormat="1" ht="48" customHeight="1" x14ac:dyDescent="0.25">
      <c r="A55" s="275" t="s">
        <v>215</v>
      </c>
      <c r="B55" s="286"/>
      <c r="C55" s="286"/>
      <c r="D55" s="286"/>
      <c r="E55" s="286"/>
    </row>
    <row r="56" spans="1:5" s="284" customFormat="1" ht="48" customHeight="1" x14ac:dyDescent="0.25">
      <c r="A56" s="105" t="s">
        <v>216</v>
      </c>
      <c r="B56" s="288"/>
      <c r="C56" s="288"/>
      <c r="D56" s="288"/>
      <c r="E56" s="288"/>
    </row>
    <row r="58" spans="1:5" x14ac:dyDescent="0.25">
      <c r="A58" s="291" t="s">
        <v>192</v>
      </c>
      <c r="B58" s="292" t="s">
        <v>264</v>
      </c>
      <c r="C58" s="292" t="s">
        <v>265</v>
      </c>
      <c r="D58" s="417" t="s">
        <v>195</v>
      </c>
      <c r="E58" s="417" t="s">
        <v>262</v>
      </c>
    </row>
    <row r="59" spans="1:5" ht="30" x14ac:dyDescent="0.25">
      <c r="A59" s="291" t="s">
        <v>259</v>
      </c>
      <c r="B59" s="292" t="s">
        <v>260</v>
      </c>
      <c r="C59" s="292" t="s">
        <v>261</v>
      </c>
      <c r="D59" s="418"/>
      <c r="E59" s="418"/>
    </row>
    <row r="60" spans="1:5" s="284" customFormat="1" x14ac:dyDescent="0.25">
      <c r="A60" s="289" t="s">
        <v>263</v>
      </c>
      <c r="B60" s="290"/>
      <c r="C60" s="290"/>
      <c r="D60" s="290"/>
      <c r="E60" s="290"/>
    </row>
    <row r="61" spans="1:5" s="284" customFormat="1" ht="48" customHeight="1" x14ac:dyDescent="0.25">
      <c r="A61" s="285" t="s">
        <v>209</v>
      </c>
      <c r="B61" s="286"/>
      <c r="C61" s="286"/>
      <c r="D61" s="286"/>
      <c r="E61" s="286"/>
    </row>
    <row r="62" spans="1:5" s="284" customFormat="1" ht="48" customHeight="1" x14ac:dyDescent="0.25">
      <c r="A62" s="285" t="s">
        <v>210</v>
      </c>
      <c r="B62" s="286"/>
      <c r="C62" s="286"/>
      <c r="D62" s="286"/>
      <c r="E62" s="286"/>
    </row>
    <row r="63" spans="1:5" s="284" customFormat="1" ht="48" customHeight="1" x14ac:dyDescent="0.25">
      <c r="A63" s="285" t="s">
        <v>211</v>
      </c>
      <c r="B63" s="286"/>
      <c r="C63" s="286"/>
      <c r="D63" s="286"/>
      <c r="E63" s="286"/>
    </row>
    <row r="64" spans="1:5" s="284" customFormat="1" ht="48" customHeight="1" x14ac:dyDescent="0.25">
      <c r="A64" s="287" t="s">
        <v>212</v>
      </c>
      <c r="B64" s="288"/>
      <c r="C64" s="288"/>
      <c r="D64" s="288"/>
      <c r="E64" s="288"/>
    </row>
    <row r="65" spans="1:5" s="284" customFormat="1" x14ac:dyDescent="0.25">
      <c r="A65" s="289" t="s">
        <v>266</v>
      </c>
      <c r="B65" s="290"/>
      <c r="C65" s="290"/>
      <c r="D65" s="290"/>
      <c r="E65" s="290"/>
    </row>
    <row r="66" spans="1:5" s="284" customFormat="1" ht="48" customHeight="1" x14ac:dyDescent="0.25">
      <c r="A66" s="275" t="s">
        <v>213</v>
      </c>
      <c r="B66" s="286"/>
      <c r="C66" s="286"/>
      <c r="D66" s="286"/>
      <c r="E66" s="286"/>
    </row>
    <row r="67" spans="1:5" s="284" customFormat="1" ht="48" customHeight="1" x14ac:dyDescent="0.25">
      <c r="A67" s="275" t="s">
        <v>214</v>
      </c>
      <c r="B67" s="286"/>
      <c r="C67" s="286"/>
      <c r="D67" s="286"/>
      <c r="E67" s="286"/>
    </row>
    <row r="68" spans="1:5" s="284" customFormat="1" ht="48" customHeight="1" x14ac:dyDescent="0.25">
      <c r="A68" s="275" t="s">
        <v>215</v>
      </c>
      <c r="B68" s="286"/>
      <c r="C68" s="286"/>
      <c r="D68" s="286"/>
      <c r="E68" s="286"/>
    </row>
    <row r="69" spans="1:5" s="284" customFormat="1" ht="48" customHeight="1" x14ac:dyDescent="0.25">
      <c r="A69" s="105" t="s">
        <v>216</v>
      </c>
      <c r="B69" s="288"/>
      <c r="C69" s="288"/>
      <c r="D69" s="288"/>
      <c r="E69" s="288"/>
    </row>
    <row r="71" spans="1:5" x14ac:dyDescent="0.25">
      <c r="A71" s="291" t="s">
        <v>192</v>
      </c>
      <c r="B71" s="292" t="s">
        <v>264</v>
      </c>
      <c r="C71" s="292" t="s">
        <v>265</v>
      </c>
      <c r="D71" s="417" t="s">
        <v>195</v>
      </c>
      <c r="E71" s="417" t="s">
        <v>262</v>
      </c>
    </row>
    <row r="72" spans="1:5" ht="30" x14ac:dyDescent="0.25">
      <c r="A72" s="291" t="s">
        <v>259</v>
      </c>
      <c r="B72" s="292" t="s">
        <v>260</v>
      </c>
      <c r="C72" s="292" t="s">
        <v>261</v>
      </c>
      <c r="D72" s="418"/>
      <c r="E72" s="418"/>
    </row>
    <row r="73" spans="1:5" s="284" customFormat="1" x14ac:dyDescent="0.25">
      <c r="A73" s="289" t="s">
        <v>263</v>
      </c>
      <c r="B73" s="290"/>
      <c r="C73" s="290"/>
      <c r="D73" s="290"/>
      <c r="E73" s="290"/>
    </row>
    <row r="74" spans="1:5" s="284" customFormat="1" ht="48" customHeight="1" x14ac:dyDescent="0.25">
      <c r="A74" s="285" t="s">
        <v>209</v>
      </c>
      <c r="B74" s="286"/>
      <c r="C74" s="286"/>
      <c r="D74" s="286"/>
      <c r="E74" s="286"/>
    </row>
    <row r="75" spans="1:5" s="284" customFormat="1" ht="48" customHeight="1" x14ac:dyDescent="0.25">
      <c r="A75" s="285" t="s">
        <v>210</v>
      </c>
      <c r="B75" s="286"/>
      <c r="C75" s="286"/>
      <c r="D75" s="286"/>
      <c r="E75" s="286"/>
    </row>
    <row r="76" spans="1:5" s="284" customFormat="1" ht="48" customHeight="1" x14ac:dyDescent="0.25">
      <c r="A76" s="285" t="s">
        <v>211</v>
      </c>
      <c r="B76" s="286"/>
      <c r="C76" s="286"/>
      <c r="D76" s="286"/>
      <c r="E76" s="286"/>
    </row>
    <row r="77" spans="1:5" s="284" customFormat="1" ht="48" customHeight="1" x14ac:dyDescent="0.25">
      <c r="A77" s="287" t="s">
        <v>212</v>
      </c>
      <c r="B77" s="288"/>
      <c r="C77" s="288"/>
      <c r="D77" s="288"/>
      <c r="E77" s="288"/>
    </row>
    <row r="78" spans="1:5" s="284" customFormat="1" x14ac:dyDescent="0.25">
      <c r="A78" s="289" t="s">
        <v>266</v>
      </c>
      <c r="B78" s="290"/>
      <c r="C78" s="290"/>
      <c r="D78" s="290"/>
      <c r="E78" s="290"/>
    </row>
    <row r="79" spans="1:5" s="284" customFormat="1" ht="48" customHeight="1" x14ac:dyDescent="0.25">
      <c r="A79" s="275" t="s">
        <v>213</v>
      </c>
      <c r="B79" s="286"/>
      <c r="C79" s="286"/>
      <c r="D79" s="286"/>
      <c r="E79" s="286"/>
    </row>
    <row r="80" spans="1:5" s="284" customFormat="1" ht="48" customHeight="1" x14ac:dyDescent="0.25">
      <c r="A80" s="275" t="s">
        <v>214</v>
      </c>
      <c r="B80" s="286"/>
      <c r="C80" s="286"/>
      <c r="D80" s="286"/>
      <c r="E80" s="286"/>
    </row>
    <row r="81" spans="1:5" s="284" customFormat="1" ht="48" customHeight="1" x14ac:dyDescent="0.25">
      <c r="A81" s="275" t="s">
        <v>215</v>
      </c>
      <c r="B81" s="286"/>
      <c r="C81" s="286"/>
      <c r="D81" s="286"/>
      <c r="E81" s="286"/>
    </row>
    <row r="82" spans="1:5" s="284" customFormat="1" ht="48" customHeight="1" x14ac:dyDescent="0.25">
      <c r="A82" s="105" t="s">
        <v>216</v>
      </c>
      <c r="B82" s="288"/>
      <c r="C82" s="288"/>
      <c r="D82" s="288"/>
      <c r="E82" s="288"/>
    </row>
    <row r="84" spans="1:5" x14ac:dyDescent="0.25">
      <c r="A84" s="291" t="s">
        <v>192</v>
      </c>
      <c r="B84" s="292" t="s">
        <v>264</v>
      </c>
      <c r="C84" s="292" t="s">
        <v>265</v>
      </c>
      <c r="D84" s="417" t="s">
        <v>195</v>
      </c>
      <c r="E84" s="417" t="s">
        <v>262</v>
      </c>
    </row>
    <row r="85" spans="1:5" ht="30" x14ac:dyDescent="0.25">
      <c r="A85" s="291" t="s">
        <v>259</v>
      </c>
      <c r="B85" s="292" t="s">
        <v>260</v>
      </c>
      <c r="C85" s="292" t="s">
        <v>261</v>
      </c>
      <c r="D85" s="418"/>
      <c r="E85" s="418"/>
    </row>
    <row r="86" spans="1:5" s="284" customFormat="1" x14ac:dyDescent="0.25">
      <c r="A86" s="289" t="s">
        <v>263</v>
      </c>
      <c r="B86" s="290"/>
      <c r="C86" s="290"/>
      <c r="D86" s="290"/>
      <c r="E86" s="290"/>
    </row>
    <row r="87" spans="1:5" s="284" customFormat="1" ht="48" customHeight="1" x14ac:dyDescent="0.25">
      <c r="A87" s="285" t="s">
        <v>209</v>
      </c>
      <c r="B87" s="286"/>
      <c r="C87" s="286"/>
      <c r="D87" s="286"/>
      <c r="E87" s="286"/>
    </row>
    <row r="88" spans="1:5" s="284" customFormat="1" ht="48" customHeight="1" x14ac:dyDescent="0.25">
      <c r="A88" s="285" t="s">
        <v>210</v>
      </c>
      <c r="B88" s="286"/>
      <c r="C88" s="286"/>
      <c r="D88" s="286"/>
      <c r="E88" s="286"/>
    </row>
    <row r="89" spans="1:5" s="284" customFormat="1" ht="48" customHeight="1" x14ac:dyDescent="0.25">
      <c r="A89" s="285" t="s">
        <v>211</v>
      </c>
      <c r="B89" s="286"/>
      <c r="C89" s="286"/>
      <c r="D89" s="286"/>
      <c r="E89" s="286"/>
    </row>
    <row r="90" spans="1:5" s="284" customFormat="1" ht="48" customHeight="1" x14ac:dyDescent="0.25">
      <c r="A90" s="287" t="s">
        <v>212</v>
      </c>
      <c r="B90" s="288"/>
      <c r="C90" s="288"/>
      <c r="D90" s="288"/>
      <c r="E90" s="288"/>
    </row>
    <row r="91" spans="1:5" s="284" customFormat="1" x14ac:dyDescent="0.25">
      <c r="A91" s="289" t="s">
        <v>266</v>
      </c>
      <c r="B91" s="290"/>
      <c r="C91" s="290"/>
      <c r="D91" s="290"/>
      <c r="E91" s="290"/>
    </row>
    <row r="92" spans="1:5" s="284" customFormat="1" ht="48" customHeight="1" x14ac:dyDescent="0.25">
      <c r="A92" s="275" t="s">
        <v>213</v>
      </c>
      <c r="B92" s="286"/>
      <c r="C92" s="286"/>
      <c r="D92" s="286"/>
      <c r="E92" s="286"/>
    </row>
    <row r="93" spans="1:5" s="284" customFormat="1" ht="48" customHeight="1" x14ac:dyDescent="0.25">
      <c r="A93" s="275" t="s">
        <v>214</v>
      </c>
      <c r="B93" s="286"/>
      <c r="C93" s="286"/>
      <c r="D93" s="286"/>
      <c r="E93" s="286"/>
    </row>
    <row r="94" spans="1:5" s="284" customFormat="1" ht="48" customHeight="1" x14ac:dyDescent="0.25">
      <c r="A94" s="275" t="s">
        <v>215</v>
      </c>
      <c r="B94" s="286"/>
      <c r="C94" s="286"/>
      <c r="D94" s="286"/>
      <c r="E94" s="286"/>
    </row>
    <row r="95" spans="1:5" s="284" customFormat="1" ht="48" customHeight="1" x14ac:dyDescent="0.25">
      <c r="A95" s="105" t="s">
        <v>216</v>
      </c>
      <c r="B95" s="288"/>
      <c r="C95" s="288"/>
      <c r="D95" s="288"/>
      <c r="E95" s="288"/>
    </row>
  </sheetData>
  <mergeCells count="15">
    <mergeCell ref="D32:D33"/>
    <mergeCell ref="E32:E33"/>
    <mergeCell ref="D6:D7"/>
    <mergeCell ref="E6:E7"/>
    <mergeCell ref="A1:E1"/>
    <mergeCell ref="D19:D20"/>
    <mergeCell ref="E19:E20"/>
    <mergeCell ref="D84:D85"/>
    <mergeCell ref="E84:E85"/>
    <mergeCell ref="D45:D46"/>
    <mergeCell ref="E45:E46"/>
    <mergeCell ref="D58:D59"/>
    <mergeCell ref="E58:E59"/>
    <mergeCell ref="D71:D72"/>
    <mergeCell ref="E71:E72"/>
  </mergeCells>
  <pageMargins left="0.23622047244094491" right="0.23622047244094491" top="0.74803149606299213" bottom="0.74803149606299213" header="0.31496062992125984" footer="0.31496062992125984"/>
  <pageSetup paperSize="9" scale="93" orientation="landscape"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46"/>
  <sheetViews>
    <sheetView tabSelected="1" view="pageBreakPreview" zoomScale="40" zoomScaleNormal="25" zoomScaleSheetLayoutView="40" workbookViewId="0">
      <selection activeCell="N46" sqref="N46"/>
    </sheetView>
  </sheetViews>
  <sheetFormatPr defaultRowHeight="15" x14ac:dyDescent="0.25"/>
  <sheetData>
    <row r="1" spans="1:7" x14ac:dyDescent="0.25">
      <c r="A1" s="420" t="s">
        <v>290</v>
      </c>
      <c r="B1" s="420"/>
      <c r="C1" s="420"/>
      <c r="D1" s="420"/>
      <c r="E1" s="420"/>
      <c r="F1" s="420"/>
      <c r="G1" s="420"/>
    </row>
    <row r="2" spans="1:7" x14ac:dyDescent="0.25">
      <c r="A2" s="420"/>
      <c r="B2" s="420"/>
      <c r="C2" s="420"/>
      <c r="D2" s="420"/>
      <c r="E2" s="420"/>
      <c r="F2" s="420"/>
      <c r="G2" s="420"/>
    </row>
    <row r="3" spans="1:7" x14ac:dyDescent="0.25">
      <c r="A3" s="420"/>
      <c r="B3" s="420"/>
      <c r="C3" s="420"/>
      <c r="D3" s="420"/>
      <c r="E3" s="420"/>
      <c r="F3" s="420"/>
      <c r="G3" s="420"/>
    </row>
    <row r="4" spans="1:7" x14ac:dyDescent="0.25">
      <c r="A4" s="420"/>
      <c r="B4" s="420"/>
      <c r="C4" s="420"/>
      <c r="D4" s="420"/>
      <c r="E4" s="420"/>
      <c r="F4" s="420"/>
      <c r="G4" s="420"/>
    </row>
    <row r="5" spans="1:7" x14ac:dyDescent="0.25">
      <c r="A5" s="420"/>
      <c r="B5" s="420"/>
      <c r="C5" s="420"/>
      <c r="D5" s="420"/>
      <c r="E5" s="420"/>
      <c r="F5" s="420"/>
      <c r="G5" s="420"/>
    </row>
    <row r="6" spans="1:7" x14ac:dyDescent="0.25">
      <c r="A6" s="420"/>
      <c r="B6" s="420"/>
      <c r="C6" s="420"/>
      <c r="D6" s="420"/>
      <c r="E6" s="420"/>
      <c r="F6" s="420"/>
      <c r="G6" s="420"/>
    </row>
    <row r="7" spans="1:7" x14ac:dyDescent="0.25">
      <c r="A7" s="420"/>
      <c r="B7" s="420"/>
      <c r="C7" s="420"/>
      <c r="D7" s="420"/>
      <c r="E7" s="420"/>
      <c r="F7" s="420"/>
      <c r="G7" s="420"/>
    </row>
    <row r="8" spans="1:7" x14ac:dyDescent="0.25">
      <c r="A8" s="420"/>
      <c r="B8" s="420"/>
      <c r="C8" s="420"/>
      <c r="D8" s="420"/>
      <c r="E8" s="420"/>
      <c r="F8" s="420"/>
      <c r="G8" s="420"/>
    </row>
    <row r="9" spans="1:7" x14ac:dyDescent="0.25">
      <c r="A9" s="420"/>
      <c r="B9" s="420"/>
      <c r="C9" s="420"/>
      <c r="D9" s="420"/>
      <c r="E9" s="420"/>
      <c r="F9" s="420"/>
      <c r="G9" s="420"/>
    </row>
    <row r="10" spans="1:7" x14ac:dyDescent="0.25">
      <c r="A10" s="420"/>
      <c r="B10" s="420"/>
      <c r="C10" s="420"/>
      <c r="D10" s="420"/>
      <c r="E10" s="420"/>
      <c r="F10" s="420"/>
      <c r="G10" s="420"/>
    </row>
    <row r="11" spans="1:7" x14ac:dyDescent="0.25">
      <c r="A11" s="420"/>
      <c r="B11" s="420"/>
      <c r="C11" s="420"/>
      <c r="D11" s="420"/>
      <c r="E11" s="420"/>
      <c r="F11" s="420"/>
      <c r="G11" s="420"/>
    </row>
    <row r="12" spans="1:7" x14ac:dyDescent="0.25">
      <c r="A12" s="420"/>
      <c r="B12" s="420"/>
      <c r="C12" s="420"/>
      <c r="D12" s="420"/>
      <c r="E12" s="420"/>
      <c r="F12" s="420"/>
      <c r="G12" s="420"/>
    </row>
    <row r="13" spans="1:7" x14ac:dyDescent="0.25">
      <c r="A13" s="420"/>
      <c r="B13" s="420"/>
      <c r="C13" s="420"/>
      <c r="D13" s="420"/>
      <c r="E13" s="420"/>
      <c r="F13" s="420"/>
      <c r="G13" s="420"/>
    </row>
    <row r="14" spans="1:7" x14ac:dyDescent="0.25">
      <c r="A14" s="420"/>
      <c r="B14" s="420"/>
      <c r="C14" s="420"/>
      <c r="D14" s="420"/>
      <c r="E14" s="420"/>
      <c r="F14" s="420"/>
      <c r="G14" s="420"/>
    </row>
    <row r="15" spans="1:7" x14ac:dyDescent="0.25">
      <c r="A15" s="420"/>
      <c r="B15" s="420"/>
      <c r="C15" s="420"/>
      <c r="D15" s="420"/>
      <c r="E15" s="420"/>
      <c r="F15" s="420"/>
      <c r="G15" s="420"/>
    </row>
    <row r="16" spans="1:7" x14ac:dyDescent="0.25">
      <c r="A16" s="420"/>
      <c r="B16" s="420"/>
      <c r="C16" s="420"/>
      <c r="D16" s="420"/>
      <c r="E16" s="420"/>
      <c r="F16" s="420"/>
      <c r="G16" s="420"/>
    </row>
    <row r="17" spans="1:7" x14ac:dyDescent="0.25">
      <c r="A17" s="420"/>
      <c r="B17" s="420"/>
      <c r="C17" s="420"/>
      <c r="D17" s="420"/>
      <c r="E17" s="420"/>
      <c r="F17" s="420"/>
      <c r="G17" s="420"/>
    </row>
    <row r="18" spans="1:7" x14ac:dyDescent="0.25">
      <c r="A18" s="420"/>
      <c r="B18" s="420"/>
      <c r="C18" s="420"/>
      <c r="D18" s="420"/>
      <c r="E18" s="420"/>
      <c r="F18" s="420"/>
      <c r="G18" s="420"/>
    </row>
    <row r="19" spans="1:7" x14ac:dyDescent="0.25">
      <c r="A19" s="420"/>
      <c r="B19" s="420"/>
      <c r="C19" s="420"/>
      <c r="D19" s="420"/>
      <c r="E19" s="420"/>
      <c r="F19" s="420"/>
      <c r="G19" s="420"/>
    </row>
    <row r="20" spans="1:7" x14ac:dyDescent="0.25">
      <c r="A20" s="420"/>
      <c r="B20" s="420"/>
      <c r="C20" s="420"/>
      <c r="D20" s="420"/>
      <c r="E20" s="420"/>
      <c r="F20" s="420"/>
      <c r="G20" s="420"/>
    </row>
    <row r="21" spans="1:7" x14ac:dyDescent="0.25">
      <c r="A21" s="420"/>
      <c r="B21" s="420"/>
      <c r="C21" s="420"/>
      <c r="D21" s="420"/>
      <c r="E21" s="420"/>
      <c r="F21" s="420"/>
      <c r="G21" s="420"/>
    </row>
    <row r="22" spans="1:7" x14ac:dyDescent="0.25">
      <c r="A22" s="420"/>
      <c r="B22" s="420"/>
      <c r="C22" s="420"/>
      <c r="D22" s="420"/>
      <c r="E22" s="420"/>
      <c r="F22" s="420"/>
      <c r="G22" s="420"/>
    </row>
    <row r="23" spans="1:7" x14ac:dyDescent="0.25">
      <c r="A23" s="420"/>
      <c r="B23" s="420"/>
      <c r="C23" s="420"/>
      <c r="D23" s="420"/>
      <c r="E23" s="420"/>
      <c r="F23" s="420"/>
      <c r="G23" s="420"/>
    </row>
    <row r="24" spans="1:7" x14ac:dyDescent="0.25">
      <c r="A24" s="420"/>
      <c r="B24" s="420"/>
      <c r="C24" s="420"/>
      <c r="D24" s="420"/>
      <c r="E24" s="420"/>
      <c r="F24" s="420"/>
      <c r="G24" s="420"/>
    </row>
    <row r="25" spans="1:7" x14ac:dyDescent="0.25">
      <c r="A25" s="420"/>
      <c r="B25" s="420"/>
      <c r="C25" s="420"/>
      <c r="D25" s="420"/>
      <c r="E25" s="420"/>
      <c r="F25" s="420"/>
      <c r="G25" s="420"/>
    </row>
    <row r="26" spans="1:7" x14ac:dyDescent="0.25">
      <c r="A26" s="420"/>
      <c r="B26" s="420"/>
      <c r="C26" s="420"/>
      <c r="D26" s="420"/>
      <c r="E26" s="420"/>
      <c r="F26" s="420"/>
      <c r="G26" s="420"/>
    </row>
    <row r="27" spans="1:7" x14ac:dyDescent="0.25">
      <c r="A27" s="420"/>
      <c r="B27" s="420"/>
      <c r="C27" s="420"/>
      <c r="D27" s="420"/>
      <c r="E27" s="420"/>
      <c r="F27" s="420"/>
      <c r="G27" s="420"/>
    </row>
    <row r="28" spans="1:7" x14ac:dyDescent="0.25">
      <c r="A28" s="420"/>
      <c r="B28" s="420"/>
      <c r="C28" s="420"/>
      <c r="D28" s="420"/>
      <c r="E28" s="420"/>
      <c r="F28" s="420"/>
      <c r="G28" s="420"/>
    </row>
    <row r="29" spans="1:7" x14ac:dyDescent="0.25">
      <c r="A29" s="420"/>
      <c r="B29" s="420"/>
      <c r="C29" s="420"/>
      <c r="D29" s="420"/>
      <c r="E29" s="420"/>
      <c r="F29" s="420"/>
      <c r="G29" s="420"/>
    </row>
    <row r="30" spans="1:7" x14ac:dyDescent="0.25">
      <c r="A30" s="420"/>
      <c r="B30" s="420"/>
      <c r="C30" s="420"/>
      <c r="D30" s="420"/>
      <c r="E30" s="420"/>
      <c r="F30" s="420"/>
      <c r="G30" s="420"/>
    </row>
    <row r="31" spans="1:7" x14ac:dyDescent="0.25">
      <c r="A31" s="420"/>
      <c r="B31" s="420"/>
      <c r="C31" s="420"/>
      <c r="D31" s="420"/>
      <c r="E31" s="420"/>
      <c r="F31" s="420"/>
      <c r="G31" s="420"/>
    </row>
    <row r="32" spans="1:7" x14ac:dyDescent="0.25">
      <c r="A32" s="420"/>
      <c r="B32" s="420"/>
      <c r="C32" s="420"/>
      <c r="D32" s="420"/>
      <c r="E32" s="420"/>
      <c r="F32" s="420"/>
      <c r="G32" s="420"/>
    </row>
    <row r="33" spans="1:7" x14ac:dyDescent="0.25">
      <c r="A33" s="420"/>
      <c r="B33" s="420"/>
      <c r="C33" s="420"/>
      <c r="D33" s="420"/>
      <c r="E33" s="420"/>
      <c r="F33" s="420"/>
      <c r="G33" s="420"/>
    </row>
    <row r="34" spans="1:7" x14ac:dyDescent="0.25">
      <c r="A34" s="420"/>
      <c r="B34" s="420"/>
      <c r="C34" s="420"/>
      <c r="D34" s="420"/>
      <c r="E34" s="420"/>
      <c r="F34" s="420"/>
      <c r="G34" s="420"/>
    </row>
    <row r="35" spans="1:7" x14ac:dyDescent="0.25">
      <c r="A35" s="420"/>
      <c r="B35" s="420"/>
      <c r="C35" s="420"/>
      <c r="D35" s="420"/>
      <c r="E35" s="420"/>
      <c r="F35" s="420"/>
      <c r="G35" s="420"/>
    </row>
    <row r="36" spans="1:7" x14ac:dyDescent="0.25">
      <c r="A36" s="420"/>
      <c r="B36" s="420"/>
      <c r="C36" s="420"/>
      <c r="D36" s="420"/>
      <c r="E36" s="420"/>
      <c r="F36" s="420"/>
      <c r="G36" s="420"/>
    </row>
    <row r="37" spans="1:7" x14ac:dyDescent="0.25">
      <c r="A37" s="420"/>
      <c r="B37" s="420"/>
      <c r="C37" s="420"/>
      <c r="D37" s="420"/>
      <c r="E37" s="420"/>
      <c r="F37" s="420"/>
      <c r="G37" s="420"/>
    </row>
    <row r="38" spans="1:7" x14ac:dyDescent="0.25">
      <c r="A38" s="420"/>
      <c r="B38" s="420"/>
      <c r="C38" s="420"/>
      <c r="D38" s="420"/>
      <c r="E38" s="420"/>
      <c r="F38" s="420"/>
      <c r="G38" s="420"/>
    </row>
    <row r="39" spans="1:7" x14ac:dyDescent="0.25">
      <c r="A39" s="420"/>
      <c r="B39" s="420"/>
      <c r="C39" s="420"/>
      <c r="D39" s="420"/>
      <c r="E39" s="420"/>
      <c r="F39" s="420"/>
      <c r="G39" s="420"/>
    </row>
    <row r="40" spans="1:7" x14ac:dyDescent="0.25">
      <c r="A40" s="420"/>
      <c r="B40" s="420"/>
      <c r="C40" s="420"/>
      <c r="D40" s="420"/>
      <c r="E40" s="420"/>
      <c r="F40" s="420"/>
      <c r="G40" s="420"/>
    </row>
    <row r="41" spans="1:7" x14ac:dyDescent="0.25">
      <c r="A41" s="420"/>
      <c r="B41" s="420"/>
      <c r="C41" s="420"/>
      <c r="D41" s="420"/>
      <c r="E41" s="420"/>
      <c r="F41" s="420"/>
      <c r="G41" s="420"/>
    </row>
    <row r="42" spans="1:7" x14ac:dyDescent="0.25">
      <c r="A42" s="420"/>
      <c r="B42" s="420"/>
      <c r="C42" s="420"/>
      <c r="D42" s="420"/>
      <c r="E42" s="420"/>
      <c r="F42" s="420"/>
      <c r="G42" s="420"/>
    </row>
    <row r="43" spans="1:7" x14ac:dyDescent="0.25">
      <c r="A43" s="420"/>
      <c r="B43" s="420"/>
      <c r="C43" s="420"/>
      <c r="D43" s="420"/>
      <c r="E43" s="420"/>
      <c r="F43" s="420"/>
      <c r="G43" s="420"/>
    </row>
    <row r="44" spans="1:7" x14ac:dyDescent="0.25">
      <c r="A44" s="420"/>
      <c r="B44" s="420"/>
      <c r="C44" s="420"/>
      <c r="D44" s="420"/>
      <c r="E44" s="420"/>
      <c r="F44" s="420"/>
      <c r="G44" s="420"/>
    </row>
    <row r="45" spans="1:7" x14ac:dyDescent="0.25">
      <c r="A45" s="420"/>
      <c r="B45" s="420"/>
      <c r="C45" s="420"/>
      <c r="D45" s="420"/>
      <c r="E45" s="420"/>
      <c r="F45" s="420"/>
      <c r="G45" s="420"/>
    </row>
    <row r="46" spans="1:7" x14ac:dyDescent="0.25">
      <c r="A46" s="420"/>
      <c r="B46" s="420"/>
      <c r="C46" s="420"/>
      <c r="D46" s="420"/>
      <c r="E46" s="420"/>
      <c r="F46" s="420"/>
      <c r="G46" s="420"/>
    </row>
  </sheetData>
  <mergeCells count="1">
    <mergeCell ref="A1:G46"/>
  </mergeCells>
  <printOptions horizontalCentered="1"/>
  <pageMargins left="1.5748031496062993" right="1.1811023622047245" top="1.1811023622047245" bottom="1.1811023622047245" header="0" footer="0"/>
  <pageSetup paperSize="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Faktor Penilaian</vt:lpstr>
      <vt:lpstr>Test AHP</vt:lpstr>
      <vt:lpstr>Urutan Jalan</vt:lpstr>
      <vt:lpstr>Prioritas</vt:lpstr>
      <vt:lpstr>Survey LHR</vt:lpstr>
      <vt:lpstr>Biaya</vt:lpstr>
      <vt:lpstr>Lembar survey</vt:lpstr>
      <vt:lpstr>Sheet1</vt:lpstr>
      <vt:lpstr>'Faktor Penilaian'!Print_Area</vt:lpstr>
      <vt:lpstr>'Lembar survey'!Print_Area</vt:lpstr>
      <vt:lpstr>Prioritas!Print_Area</vt:lpstr>
      <vt:lpstr>'Survey LHR'!Print_Area</vt:lpstr>
      <vt:lpstr>'Test AHP'!Print_Area</vt:lpstr>
      <vt:lpstr>'Urutan Jalan'!Print_Area</vt:lpstr>
      <vt:lpstr>'Lembar survey'!Print_Titles</vt:lpstr>
      <vt:lpstr>'Urutan Jalan'!Print_Titles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Ilham Hidayat</cp:lastModifiedBy>
  <cp:lastPrinted>2020-01-22T10:12:46Z</cp:lastPrinted>
  <dcterms:created xsi:type="dcterms:W3CDTF">2018-03-07T05:31:50Z</dcterms:created>
  <dcterms:modified xsi:type="dcterms:W3CDTF">2020-01-22T10:26:55Z</dcterms:modified>
</cp:coreProperties>
</file>